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4\vse\002-БЮДЖЕТ\2020\04-ИСПОЛНЕНИЕ БЮДЖЕТА 2020 ГОД\ИСПОЛНЕНИЕ ЗА 2020 ГОД ДЛЯ СД\"/>
    </mc:Choice>
  </mc:AlternateContent>
  <xr:revisionPtr revIDLastSave="0" documentId="13_ncr:1_{2CD091CE-EC1B-46D0-9785-C0F8E658DD04}" xr6:coauthVersionLast="45" xr6:coauthVersionMax="45" xr10:uidLastSave="{00000000-0000-0000-0000-000000000000}"/>
  <bookViews>
    <workbookView xWindow="0" yWindow="12" windowWidth="23040" windowHeight="12300" tabRatio="721" xr2:uid="{00000000-000D-0000-FFFF-FFFF00000000}"/>
  </bookViews>
  <sheets>
    <sheet name="Лист1" sheetId="5" r:id="rId1"/>
  </sheets>
  <definedNames>
    <definedName name="_xlnm.Print_Area" localSheetId="0">Лист1!$A$1:$H$614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4" i="5" l="1"/>
  <c r="G544" i="5"/>
  <c r="H543" i="5"/>
  <c r="G543" i="5"/>
  <c r="H539" i="5"/>
  <c r="H541" i="5"/>
  <c r="G541" i="5"/>
  <c r="H540" i="5"/>
  <c r="G540" i="5"/>
  <c r="G539" i="5" s="1"/>
  <c r="H552" i="5"/>
  <c r="G552" i="5"/>
  <c r="H550" i="5"/>
  <c r="G550" i="5"/>
  <c r="H546" i="5"/>
  <c r="G546" i="5"/>
  <c r="G545" i="5" s="1"/>
  <c r="H548" i="5"/>
  <c r="G548" i="5"/>
  <c r="H528" i="5"/>
  <c r="H527" i="5" s="1"/>
  <c r="G528" i="5"/>
  <c r="G527" i="5" s="1"/>
  <c r="H525" i="5"/>
  <c r="G525" i="5"/>
  <c r="H524" i="5"/>
  <c r="G524" i="5"/>
  <c r="H523" i="5"/>
  <c r="H522" i="5" s="1"/>
  <c r="H521" i="5" s="1"/>
  <c r="G523" i="5"/>
  <c r="H518" i="5"/>
  <c r="G518" i="5"/>
  <c r="H511" i="5"/>
  <c r="G511" i="5"/>
  <c r="G506" i="5"/>
  <c r="H496" i="5"/>
  <c r="G496" i="5"/>
  <c r="H494" i="5"/>
  <c r="G494" i="5"/>
  <c r="H491" i="5"/>
  <c r="H489" i="5" l="1"/>
  <c r="G489" i="5"/>
  <c r="G491" i="5"/>
  <c r="H487" i="5"/>
  <c r="G487" i="5"/>
  <c r="H485" i="5"/>
  <c r="G485" i="5"/>
  <c r="H474" i="5"/>
  <c r="H473" i="5" s="1"/>
  <c r="G474" i="5"/>
  <c r="G473" i="5"/>
  <c r="H482" i="5"/>
  <c r="H481" i="5" s="1"/>
  <c r="G482" i="5"/>
  <c r="G481" i="5" s="1"/>
  <c r="H476" i="5"/>
  <c r="H475" i="5" s="1"/>
  <c r="G476" i="5"/>
  <c r="G475" i="5" s="1"/>
  <c r="H499" i="5"/>
  <c r="G499" i="5"/>
  <c r="H480" i="5"/>
  <c r="G480" i="5"/>
  <c r="H478" i="5"/>
  <c r="G478" i="5"/>
  <c r="H472" i="5"/>
  <c r="G472" i="5"/>
  <c r="H468" i="5" l="1"/>
  <c r="H467" i="5" s="1"/>
  <c r="G468" i="5"/>
  <c r="G467" i="5" s="1"/>
  <c r="G466" i="5" s="1"/>
  <c r="G465" i="5" s="1"/>
  <c r="H462" i="5"/>
  <c r="H458" i="5"/>
  <c r="H460" i="5"/>
  <c r="G462" i="5"/>
  <c r="G461" i="5" s="1"/>
  <c r="H459" i="5"/>
  <c r="G460" i="5"/>
  <c r="G459" i="5" s="1"/>
  <c r="G458" i="5"/>
  <c r="H456" i="5"/>
  <c r="G456" i="5"/>
  <c r="G455" i="5" s="1"/>
  <c r="H454" i="5"/>
  <c r="H453" i="5" s="1"/>
  <c r="G454" i="5"/>
  <c r="H452" i="5"/>
  <c r="H451" i="5" s="1"/>
  <c r="G452" i="5"/>
  <c r="G451" i="5" s="1"/>
  <c r="G450" i="5" s="1"/>
  <c r="H442" i="5"/>
  <c r="G442" i="5"/>
  <c r="H441" i="5"/>
  <c r="G441" i="5"/>
  <c r="H439" i="5"/>
  <c r="H438" i="5" s="1"/>
  <c r="G439" i="5"/>
  <c r="G438" i="5" s="1"/>
  <c r="H446" i="5"/>
  <c r="H445" i="5" s="1"/>
  <c r="H444" i="5" s="1"/>
  <c r="G446" i="5"/>
  <c r="G445" i="5" s="1"/>
  <c r="G444" i="5" s="1"/>
  <c r="G453" i="5"/>
  <c r="H455" i="5"/>
  <c r="H457" i="5"/>
  <c r="G457" i="5"/>
  <c r="H461" i="5"/>
  <c r="H463" i="5"/>
  <c r="G463" i="5"/>
  <c r="H469" i="5"/>
  <c r="G469" i="5"/>
  <c r="H471" i="5"/>
  <c r="G471" i="5"/>
  <c r="H477" i="5"/>
  <c r="G477" i="5"/>
  <c r="H479" i="5"/>
  <c r="G479" i="5"/>
  <c r="H483" i="5"/>
  <c r="G483" i="5"/>
  <c r="H498" i="5"/>
  <c r="H493" i="5" s="1"/>
  <c r="G498" i="5"/>
  <c r="G493" i="5" s="1"/>
  <c r="H501" i="5"/>
  <c r="H500" i="5" s="1"/>
  <c r="G501" i="5"/>
  <c r="G500" i="5" s="1"/>
  <c r="H505" i="5"/>
  <c r="G505" i="5"/>
  <c r="H507" i="5"/>
  <c r="G507" i="5"/>
  <c r="H509" i="5"/>
  <c r="G509" i="5"/>
  <c r="H513" i="5"/>
  <c r="G513" i="5"/>
  <c r="H517" i="5"/>
  <c r="G517" i="5"/>
  <c r="H542" i="5"/>
  <c r="G542" i="5"/>
  <c r="H545" i="5"/>
  <c r="H535" i="5"/>
  <c r="G535" i="5"/>
  <c r="H533" i="5"/>
  <c r="G533" i="5"/>
  <c r="H531" i="5"/>
  <c r="G531" i="5"/>
  <c r="G522" i="5"/>
  <c r="G521" i="5" s="1"/>
  <c r="H556" i="5"/>
  <c r="H555" i="5" s="1"/>
  <c r="H554" i="5" s="1"/>
  <c r="G556" i="5"/>
  <c r="G555" i="5" s="1"/>
  <c r="G554" i="5" s="1"/>
  <c r="G530" i="5" l="1"/>
  <c r="G520" i="5"/>
  <c r="G516" i="5"/>
  <c r="G515" i="5" s="1"/>
  <c r="H530" i="5"/>
  <c r="H520" i="5" s="1"/>
  <c r="G504" i="5"/>
  <c r="G503" i="5" s="1"/>
  <c r="H516" i="5"/>
  <c r="H515" i="5" s="1"/>
  <c r="G538" i="5"/>
  <c r="G537" i="5" s="1"/>
  <c r="H538" i="5"/>
  <c r="H537" i="5" s="1"/>
  <c r="H504" i="5"/>
  <c r="H503" i="5" s="1"/>
  <c r="H466" i="5"/>
  <c r="H465" i="5" s="1"/>
  <c r="H450" i="5"/>
  <c r="H449" i="5" s="1"/>
  <c r="G449" i="5"/>
  <c r="G448" i="5" s="1"/>
  <c r="G437" i="5" s="1"/>
  <c r="H602" i="5"/>
  <c r="G602" i="5"/>
  <c r="G596" i="5"/>
  <c r="H596" i="5"/>
  <c r="H595" i="5"/>
  <c r="H594" i="5" s="1"/>
  <c r="G595" i="5"/>
  <c r="G594" i="5" s="1"/>
  <c r="H590" i="5"/>
  <c r="G590" i="5"/>
  <c r="G589" i="5"/>
  <c r="H589" i="5"/>
  <c r="H588" i="5" s="1"/>
  <c r="H587" i="5" s="1"/>
  <c r="H586" i="5" s="1"/>
  <c r="H612" i="5"/>
  <c r="H611" i="5" s="1"/>
  <c r="G612" i="5"/>
  <c r="G611" i="5" s="1"/>
  <c r="H609" i="5"/>
  <c r="H608" i="5" s="1"/>
  <c r="G609" i="5"/>
  <c r="G608" i="5" s="1"/>
  <c r="H600" i="5"/>
  <c r="H599" i="5" s="1"/>
  <c r="H598" i="5" s="1"/>
  <c r="H597" i="5" s="1"/>
  <c r="G600" i="5"/>
  <c r="H592" i="5"/>
  <c r="G592" i="5"/>
  <c r="G588" i="5"/>
  <c r="H579" i="5"/>
  <c r="H578" i="5" s="1"/>
  <c r="H562" i="5"/>
  <c r="H583" i="5"/>
  <c r="G583" i="5"/>
  <c r="H582" i="5"/>
  <c r="G582" i="5"/>
  <c r="G581" i="5" s="1"/>
  <c r="G579" i="5"/>
  <c r="G562" i="5"/>
  <c r="H581" i="5"/>
  <c r="G578" i="5"/>
  <c r="H576" i="5"/>
  <c r="G576" i="5"/>
  <c r="H435" i="5"/>
  <c r="G435" i="5"/>
  <c r="H434" i="5"/>
  <c r="H432" i="5" s="1"/>
  <c r="G434" i="5"/>
  <c r="H433" i="5"/>
  <c r="G433" i="5"/>
  <c r="H425" i="5"/>
  <c r="G425" i="5"/>
  <c r="H431" i="5"/>
  <c r="G431" i="5"/>
  <c r="G430" i="5"/>
  <c r="H430" i="5"/>
  <c r="H429" i="5"/>
  <c r="G429" i="5"/>
  <c r="H424" i="5"/>
  <c r="G424" i="5"/>
  <c r="G432" i="5"/>
  <c r="H421" i="5"/>
  <c r="G421" i="5"/>
  <c r="H420" i="5"/>
  <c r="G420" i="5"/>
  <c r="H419" i="5"/>
  <c r="G419" i="5"/>
  <c r="G418" i="5" s="1"/>
  <c r="G417" i="5" s="1"/>
  <c r="G416" i="5" s="1"/>
  <c r="G415" i="5" s="1"/>
  <c r="G414" i="5" s="1"/>
  <c r="H412" i="5"/>
  <c r="G412" i="5"/>
  <c r="H413" i="5"/>
  <c r="G413" i="5"/>
  <c r="G411" i="5"/>
  <c r="H411" i="5"/>
  <c r="H409" i="5"/>
  <c r="G409" i="5"/>
  <c r="H408" i="5"/>
  <c r="G408" i="5"/>
  <c r="H407" i="5"/>
  <c r="G407" i="5"/>
  <c r="H402" i="5"/>
  <c r="G402" i="5"/>
  <c r="H400" i="5"/>
  <c r="G400" i="5"/>
  <c r="H397" i="5"/>
  <c r="G397" i="5"/>
  <c r="H395" i="5"/>
  <c r="G395" i="5"/>
  <c r="H393" i="5"/>
  <c r="G393" i="5"/>
  <c r="H391" i="5"/>
  <c r="G391" i="5"/>
  <c r="H386" i="5"/>
  <c r="G386" i="5"/>
  <c r="H384" i="5"/>
  <c r="G384" i="5"/>
  <c r="H381" i="5"/>
  <c r="G381" i="5"/>
  <c r="H379" i="5"/>
  <c r="G379" i="5"/>
  <c r="H376" i="5"/>
  <c r="G376" i="5"/>
  <c r="H374" i="5"/>
  <c r="G374" i="5"/>
  <c r="H372" i="5"/>
  <c r="G372" i="5"/>
  <c r="H370" i="5"/>
  <c r="G370" i="5"/>
  <c r="H448" i="5" l="1"/>
  <c r="H437" i="5" s="1"/>
  <c r="G378" i="5"/>
  <c r="G399" i="5"/>
  <c r="G369" i="5"/>
  <c r="H369" i="5"/>
  <c r="H378" i="5"/>
  <c r="H390" i="5"/>
  <c r="H368" i="5" s="1"/>
  <c r="H399" i="5"/>
  <c r="H418" i="5"/>
  <c r="H417" i="5" s="1"/>
  <c r="H416" i="5" s="1"/>
  <c r="H415" i="5" s="1"/>
  <c r="H414" i="5" s="1"/>
  <c r="G575" i="5"/>
  <c r="G587" i="5"/>
  <c r="G586" i="5" s="1"/>
  <c r="H575" i="5"/>
  <c r="G410" i="5"/>
  <c r="G383" i="5"/>
  <c r="G406" i="5"/>
  <c r="G405" i="5" s="1"/>
  <c r="G404" i="5" s="1"/>
  <c r="G428" i="5"/>
  <c r="G427" i="5" s="1"/>
  <c r="G426" i="5" s="1"/>
  <c r="G423" i="5" s="1"/>
  <c r="G422" i="5" s="1"/>
  <c r="H383" i="5"/>
  <c r="H406" i="5"/>
  <c r="H428" i="5"/>
  <c r="H427" i="5" s="1"/>
  <c r="H426" i="5" s="1"/>
  <c r="G599" i="5"/>
  <c r="G598" i="5" s="1"/>
  <c r="G597" i="5" s="1"/>
  <c r="G585" i="5" s="1"/>
  <c r="H410" i="5"/>
  <c r="H423" i="5"/>
  <c r="H422" i="5" s="1"/>
  <c r="H607" i="5"/>
  <c r="H606" i="5" s="1"/>
  <c r="H605" i="5" s="1"/>
  <c r="G607" i="5"/>
  <c r="G606" i="5" s="1"/>
  <c r="G605" i="5" s="1"/>
  <c r="H585" i="5"/>
  <c r="G561" i="5"/>
  <c r="G560" i="5" s="1"/>
  <c r="G559" i="5" s="1"/>
  <c r="G390" i="5"/>
  <c r="G368" i="5" s="1"/>
  <c r="H561" i="5"/>
  <c r="H405" i="5"/>
  <c r="H404" i="5" s="1"/>
  <c r="G367" i="5" l="1"/>
  <c r="H367" i="5"/>
  <c r="H560" i="5"/>
  <c r="H559" i="5" s="1"/>
  <c r="H365" i="5" l="1"/>
  <c r="H364" i="5" s="1"/>
  <c r="H363" i="5" s="1"/>
  <c r="G365" i="5"/>
  <c r="G364" i="5" s="1"/>
  <c r="G363" i="5" s="1"/>
  <c r="H362" i="5"/>
  <c r="G362" i="5"/>
  <c r="H361" i="5"/>
  <c r="H360" i="5" s="1"/>
  <c r="G361" i="5"/>
  <c r="G360" i="5" s="1"/>
  <c r="H358" i="5"/>
  <c r="H357" i="5" s="1"/>
  <c r="G358" i="5"/>
  <c r="G357" i="5" s="1"/>
  <c r="H359" i="5"/>
  <c r="G359" i="5"/>
  <c r="H355" i="5"/>
  <c r="G355" i="5"/>
  <c r="G354" i="5" l="1"/>
  <c r="G353" i="5" s="1"/>
  <c r="G352" i="5" s="1"/>
  <c r="G351" i="5" s="1"/>
  <c r="H354" i="5"/>
  <c r="H353" i="5" s="1"/>
  <c r="H352" i="5" s="1"/>
  <c r="H351" i="5" s="1"/>
  <c r="H346" i="5"/>
  <c r="G346" i="5"/>
  <c r="H344" i="5"/>
  <c r="G344" i="5"/>
  <c r="H343" i="5"/>
  <c r="H349" i="5"/>
  <c r="H348" i="5" s="1"/>
  <c r="G349" i="5"/>
  <c r="G348" i="5" s="1"/>
  <c r="H334" i="5"/>
  <c r="H331" i="5"/>
  <c r="H329" i="5"/>
  <c r="H325" i="5"/>
  <c r="H341" i="5"/>
  <c r="G341" i="5"/>
  <c r="G329" i="5"/>
  <c r="G331" i="5"/>
  <c r="G334" i="5"/>
  <c r="H337" i="5"/>
  <c r="G337" i="5"/>
  <c r="G325" i="5"/>
  <c r="H321" i="5"/>
  <c r="G321" i="5"/>
  <c r="H319" i="5"/>
  <c r="G319" i="5"/>
  <c r="H316" i="5"/>
  <c r="H315" i="5" s="1"/>
  <c r="G316" i="5"/>
  <c r="G315" i="5" s="1"/>
  <c r="H311" i="5"/>
  <c r="G311" i="5"/>
  <c r="G310" i="5" s="1"/>
  <c r="H310" i="5"/>
  <c r="H306" i="5"/>
  <c r="H305" i="5" s="1"/>
  <c r="G306" i="5"/>
  <c r="G305" i="5" s="1"/>
  <c r="H302" i="5"/>
  <c r="H301" i="5" s="1"/>
  <c r="G302" i="5"/>
  <c r="G301" i="5" s="1"/>
  <c r="H295" i="5"/>
  <c r="H294" i="5"/>
  <c r="H297" i="5"/>
  <c r="G297" i="5"/>
  <c r="G294" i="5"/>
  <c r="G295" i="5"/>
  <c r="H293" i="5"/>
  <c r="G293" i="5"/>
  <c r="H289" i="5"/>
  <c r="H288" i="5" s="1"/>
  <c r="G289" i="5"/>
  <c r="G288" i="5" s="1"/>
  <c r="G292" i="5" l="1"/>
  <c r="G291" i="5" s="1"/>
  <c r="H292" i="5"/>
  <c r="H291" i="5" s="1"/>
  <c r="G287" i="5"/>
  <c r="G300" i="5"/>
  <c r="G299" i="5" s="1"/>
  <c r="G343" i="5"/>
  <c r="H300" i="5"/>
  <c r="H299" i="5" s="1"/>
  <c r="H324" i="5"/>
  <c r="H323" i="5" s="1"/>
  <c r="G324" i="5"/>
  <c r="G323" i="5" s="1"/>
  <c r="H318" i="5"/>
  <c r="H314" i="5" s="1"/>
  <c r="G318" i="5"/>
  <c r="G314" i="5" s="1"/>
  <c r="H287" i="5"/>
  <c r="H282" i="5"/>
  <c r="H284" i="5"/>
  <c r="G284" i="5"/>
  <c r="H283" i="5"/>
  <c r="G282" i="5"/>
  <c r="G281" i="5" s="1"/>
  <c r="G280" i="5" s="1"/>
  <c r="G279" i="5" s="1"/>
  <c r="G278" i="5" s="1"/>
  <c r="H276" i="5"/>
  <c r="G276" i="5"/>
  <c r="G275" i="5"/>
  <c r="H275" i="5"/>
  <c r="H268" i="5"/>
  <c r="H267" i="5" s="1"/>
  <c r="H266" i="5" s="1"/>
  <c r="G268" i="5"/>
  <c r="G267" i="5" s="1"/>
  <c r="G266" i="5" s="1"/>
  <c r="H263" i="5"/>
  <c r="H262" i="5" s="1"/>
  <c r="H257" i="5" s="1"/>
  <c r="H256" i="5" s="1"/>
  <c r="G263" i="5"/>
  <c r="G262" i="5" s="1"/>
  <c r="G257" i="5" s="1"/>
  <c r="G256" i="5" s="1"/>
  <c r="H259" i="5"/>
  <c r="G259" i="5"/>
  <c r="H255" i="5"/>
  <c r="G255" i="5"/>
  <c r="H254" i="5"/>
  <c r="G254" i="5"/>
  <c r="H250" i="5"/>
  <c r="G250" i="5"/>
  <c r="H239" i="5"/>
  <c r="G239" i="5"/>
  <c r="G253" i="5" l="1"/>
  <c r="G249" i="5" s="1"/>
  <c r="H253" i="5"/>
  <c r="H249" i="5" s="1"/>
  <c r="G313" i="5"/>
  <c r="H313" i="5"/>
  <c r="H281" i="5"/>
  <c r="H280" i="5" s="1"/>
  <c r="H279" i="5" s="1"/>
  <c r="H278" i="5" s="1"/>
  <c r="H274" i="5"/>
  <c r="H273" i="5" s="1"/>
  <c r="H272" i="5" s="1"/>
  <c r="G274" i="5"/>
  <c r="G273" i="5" s="1"/>
  <c r="G272" i="5" s="1"/>
  <c r="G271" i="5" s="1"/>
  <c r="H247" i="5"/>
  <c r="G247" i="5"/>
  <c r="H243" i="5"/>
  <c r="H242" i="5" s="1"/>
  <c r="H241" i="5" s="1"/>
  <c r="G243" i="5"/>
  <c r="H237" i="5"/>
  <c r="G237" i="5"/>
  <c r="H235" i="5"/>
  <c r="H234" i="5" s="1"/>
  <c r="G235" i="5"/>
  <c r="H232" i="5"/>
  <c r="H231" i="5" s="1"/>
  <c r="G232" i="5"/>
  <c r="G231" i="5" s="1"/>
  <c r="H229" i="5"/>
  <c r="H228" i="5" s="1"/>
  <c r="G229" i="5"/>
  <c r="G228" i="5" s="1"/>
  <c r="H225" i="5"/>
  <c r="H224" i="5" s="1"/>
  <c r="H223" i="5" s="1"/>
  <c r="G225" i="5"/>
  <c r="G224" i="5" s="1"/>
  <c r="G223" i="5" s="1"/>
  <c r="H220" i="5"/>
  <c r="H219" i="5" s="1"/>
  <c r="H218" i="5" s="1"/>
  <c r="G220" i="5"/>
  <c r="G219" i="5" s="1"/>
  <c r="G218" i="5" s="1"/>
  <c r="H216" i="5"/>
  <c r="G216" i="5"/>
  <c r="G215" i="5" s="1"/>
  <c r="G214" i="5" s="1"/>
  <c r="H215" i="5"/>
  <c r="H214" i="5" s="1"/>
  <c r="H209" i="5"/>
  <c r="G209" i="5"/>
  <c r="G208" i="5" s="1"/>
  <c r="H208" i="5"/>
  <c r="H202" i="5"/>
  <c r="G202" i="5"/>
  <c r="H205" i="5"/>
  <c r="G205" i="5"/>
  <c r="H200" i="5"/>
  <c r="G200" i="5"/>
  <c r="H198" i="5"/>
  <c r="G198" i="5"/>
  <c r="H212" i="5"/>
  <c r="H211" i="5" s="1"/>
  <c r="G212" i="5"/>
  <c r="G211" i="5" s="1"/>
  <c r="H193" i="5"/>
  <c r="G193" i="5"/>
  <c r="H191" i="5"/>
  <c r="G191" i="5"/>
  <c r="H189" i="5"/>
  <c r="G189" i="5"/>
  <c r="H187" i="5"/>
  <c r="G187" i="5"/>
  <c r="H179" i="5"/>
  <c r="G179" i="5"/>
  <c r="H183" i="5"/>
  <c r="G183" i="5"/>
  <c r="H181" i="5"/>
  <c r="H178" i="5" s="1"/>
  <c r="G181" i="5"/>
  <c r="H177" i="5"/>
  <c r="G177" i="5"/>
  <c r="H176" i="5"/>
  <c r="H175" i="5" s="1"/>
  <c r="H174" i="5" s="1"/>
  <c r="G176" i="5"/>
  <c r="G175" i="5" s="1"/>
  <c r="G174" i="5" s="1"/>
  <c r="H169" i="5"/>
  <c r="G169" i="5"/>
  <c r="H171" i="5"/>
  <c r="H168" i="5" s="1"/>
  <c r="G171" i="5"/>
  <c r="H165" i="5"/>
  <c r="H164" i="5" s="1"/>
  <c r="G165" i="5"/>
  <c r="G164" i="5" s="1"/>
  <c r="H161" i="5"/>
  <c r="G161" i="5"/>
  <c r="H159" i="5"/>
  <c r="G159" i="5"/>
  <c r="H155" i="5"/>
  <c r="G155" i="5"/>
  <c r="H153" i="5"/>
  <c r="G153" i="5"/>
  <c r="H149" i="5"/>
  <c r="G149" i="5"/>
  <c r="H147" i="5"/>
  <c r="G147" i="5"/>
  <c r="H144" i="5"/>
  <c r="H143" i="5" s="1"/>
  <c r="G144" i="5"/>
  <c r="G143" i="5" s="1"/>
  <c r="H117" i="5"/>
  <c r="G117" i="5"/>
  <c r="H116" i="5"/>
  <c r="G116" i="5"/>
  <c r="H139" i="5"/>
  <c r="G139" i="5"/>
  <c r="H137" i="5"/>
  <c r="G137" i="5"/>
  <c r="H135" i="5"/>
  <c r="G135" i="5"/>
  <c r="H126" i="5"/>
  <c r="G126" i="5"/>
  <c r="H129" i="5"/>
  <c r="G129" i="5"/>
  <c r="H122" i="5"/>
  <c r="G122" i="5"/>
  <c r="H124" i="5"/>
  <c r="G124" i="5"/>
  <c r="G146" i="5" l="1"/>
  <c r="G158" i="5"/>
  <c r="G157" i="5" s="1"/>
  <c r="H146" i="5"/>
  <c r="H142" i="5" s="1"/>
  <c r="H158" i="5"/>
  <c r="H157" i="5" s="1"/>
  <c r="H227" i="5"/>
  <c r="H222" i="5" s="1"/>
  <c r="G132" i="5"/>
  <c r="G186" i="5"/>
  <c r="G185" i="5" s="1"/>
  <c r="G142" i="5"/>
  <c r="H132" i="5"/>
  <c r="H163" i="5"/>
  <c r="H186" i="5"/>
  <c r="H185" i="5" s="1"/>
  <c r="G234" i="5"/>
  <c r="G227" i="5" s="1"/>
  <c r="G222" i="5" s="1"/>
  <c r="G270" i="5"/>
  <c r="H271" i="5"/>
  <c r="H270" i="5" s="1"/>
  <c r="G207" i="5"/>
  <c r="G242" i="5"/>
  <c r="G241" i="5" s="1"/>
  <c r="H207" i="5"/>
  <c r="H173" i="5"/>
  <c r="G168" i="5"/>
  <c r="G163" i="5" s="1"/>
  <c r="G178" i="5"/>
  <c r="G173" i="5" s="1"/>
  <c r="H197" i="5"/>
  <c r="H196" i="5" s="1"/>
  <c r="G197" i="5"/>
  <c r="G196" i="5" s="1"/>
  <c r="G195" i="5" s="1"/>
  <c r="G121" i="5"/>
  <c r="H121" i="5"/>
  <c r="H120" i="5" s="1"/>
  <c r="H141" i="5" l="1"/>
  <c r="G120" i="5"/>
  <c r="H195" i="5"/>
  <c r="G141" i="5"/>
  <c r="H114" i="5" l="1"/>
  <c r="G114" i="5"/>
  <c r="H112" i="5"/>
  <c r="G112" i="5"/>
  <c r="H110" i="5"/>
  <c r="G110" i="5"/>
  <c r="H108" i="5"/>
  <c r="H107" i="5" s="1"/>
  <c r="H106" i="5" s="1"/>
  <c r="G108" i="5"/>
  <c r="G107" i="5" s="1"/>
  <c r="G106" i="5" s="1"/>
  <c r="H103" i="5" l="1"/>
  <c r="H102" i="5" s="1"/>
  <c r="G103" i="5"/>
  <c r="G102" i="5" s="1"/>
  <c r="H100" i="5"/>
  <c r="H99" i="5" s="1"/>
  <c r="G100" i="5"/>
  <c r="G99" i="5" s="1"/>
  <c r="G98" i="5" s="1"/>
  <c r="G97" i="5" s="1"/>
  <c r="H93" i="5"/>
  <c r="H92" i="5" s="1"/>
  <c r="H91" i="5" s="1"/>
  <c r="H95" i="5"/>
  <c r="H94" i="5" s="1"/>
  <c r="G95" i="5"/>
  <c r="G94" i="5" s="1"/>
  <c r="G92" i="5"/>
  <c r="G91" i="5" s="1"/>
  <c r="H86" i="5"/>
  <c r="G86" i="5"/>
  <c r="H89" i="5"/>
  <c r="G89" i="5"/>
  <c r="H88" i="5"/>
  <c r="H87" i="5" s="1"/>
  <c r="G88" i="5"/>
  <c r="G87" i="5" s="1"/>
  <c r="H85" i="5"/>
  <c r="G85" i="5"/>
  <c r="H83" i="5"/>
  <c r="G83" i="5"/>
  <c r="H73" i="5"/>
  <c r="G73" i="5"/>
  <c r="H75" i="5"/>
  <c r="G75" i="5"/>
  <c r="H71" i="5"/>
  <c r="G71" i="5"/>
  <c r="H70" i="5"/>
  <c r="H68" i="5" s="1"/>
  <c r="G70" i="5"/>
  <c r="G65" i="5"/>
  <c r="H65" i="5"/>
  <c r="H64" i="5"/>
  <c r="G64" i="5"/>
  <c r="H98" i="5" l="1"/>
  <c r="H97" i="5" s="1"/>
  <c r="G68" i="5"/>
  <c r="G82" i="5"/>
  <c r="H82" i="5"/>
  <c r="G90" i="5"/>
  <c r="H90" i="5"/>
  <c r="H81" i="5"/>
  <c r="G81" i="5"/>
  <c r="H63" i="5"/>
  <c r="H62" i="5" s="1"/>
  <c r="G63" i="5"/>
  <c r="G62" i="5" s="1"/>
  <c r="H60" i="5"/>
  <c r="H59" i="5" s="1"/>
  <c r="G60" i="5"/>
  <c r="G59" i="5" s="1"/>
  <c r="H57" i="5"/>
  <c r="H56" i="5" s="1"/>
  <c r="G57" i="5"/>
  <c r="G56" i="5" s="1"/>
  <c r="H52" i="5"/>
  <c r="G52" i="5"/>
  <c r="H54" i="5"/>
  <c r="G54" i="5"/>
  <c r="H48" i="5"/>
  <c r="G48" i="5"/>
  <c r="H46" i="5"/>
  <c r="G46" i="5"/>
  <c r="H44" i="5"/>
  <c r="H43" i="5" s="1"/>
  <c r="G44" i="5"/>
  <c r="H40" i="5"/>
  <c r="H39" i="5" s="1"/>
  <c r="G40" i="5"/>
  <c r="G39" i="5" s="1"/>
  <c r="H37" i="5"/>
  <c r="H36" i="5" s="1"/>
  <c r="G37" i="5"/>
  <c r="G36" i="5" s="1"/>
  <c r="G29" i="5"/>
  <c r="H29" i="5"/>
  <c r="H28" i="5" s="1"/>
  <c r="G30" i="5"/>
  <c r="G26" i="5"/>
  <c r="G25" i="5" s="1"/>
  <c r="H26" i="5"/>
  <c r="H25" i="5" s="1"/>
  <c r="H34" i="5"/>
  <c r="H33" i="5" s="1"/>
  <c r="G34" i="5"/>
  <c r="G33" i="5" s="1"/>
  <c r="H31" i="5"/>
  <c r="G31" i="5"/>
  <c r="H22" i="5"/>
  <c r="G22" i="5"/>
  <c r="H19" i="5"/>
  <c r="G20" i="5"/>
  <c r="H20" i="5"/>
  <c r="G19" i="5"/>
  <c r="H14" i="5"/>
  <c r="H13" i="5" s="1"/>
  <c r="H12" i="5" s="1"/>
  <c r="G14" i="5"/>
  <c r="G13" i="5" s="1"/>
  <c r="G12" i="5" s="1"/>
  <c r="G80" i="5" l="1"/>
  <c r="H80" i="5"/>
  <c r="G51" i="5"/>
  <c r="H51" i="5"/>
  <c r="H42" i="5" s="1"/>
  <c r="G43" i="5"/>
  <c r="G28" i="5"/>
  <c r="H24" i="5"/>
  <c r="G24" i="5"/>
  <c r="H18" i="5"/>
  <c r="H17" i="5" s="1"/>
  <c r="G18" i="5"/>
  <c r="G17" i="5" s="1"/>
  <c r="G42" i="5" l="1"/>
  <c r="G16" i="5"/>
  <c r="G11" i="5" s="1"/>
  <c r="G10" i="5" s="1"/>
  <c r="H16" i="5"/>
  <c r="H11" i="5" s="1"/>
  <c r="H10" i="5" s="1"/>
  <c r="H614" i="5" s="1"/>
</calcChain>
</file>

<file path=xl/sharedStrings.xml><?xml version="1.0" encoding="utf-8"?>
<sst xmlns="http://schemas.openxmlformats.org/spreadsheetml/2006/main" count="2586" uniqueCount="593">
  <si>
    <t>наименование</t>
  </si>
  <si>
    <t>ведомство</t>
  </si>
  <si>
    <t>код бюджетной классификации</t>
  </si>
  <si>
    <t>раздел</t>
  </si>
  <si>
    <t>подраздел</t>
  </si>
  <si>
    <t>целевая статья расходов</t>
  </si>
  <si>
    <t>вид расхода</t>
  </si>
  <si>
    <t>Администрация городского округа город Шахунья</t>
  </si>
  <si>
    <t>Общегосударственные вопросы</t>
  </si>
  <si>
    <t>00 0 00 00000</t>
  </si>
  <si>
    <t>Функционирование высшего должностного лица</t>
  </si>
  <si>
    <t>Функционирование главы местного самоуправления городского округа</t>
  </si>
  <si>
    <t>Расходы на выплаты персоналу в целях обеспечения выполнения функций органами местного самоуправления</t>
  </si>
  <si>
    <t>Функционирование органов исполнительной власти, местных администраций</t>
  </si>
  <si>
    <t>77 7 01 00000</t>
  </si>
  <si>
    <t>Обеспечение деятельности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</si>
  <si>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</si>
  <si>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77 7 01 00190</t>
  </si>
  <si>
    <t>Закупка товаров, работ и услуг для муниципальных нужд</t>
  </si>
  <si>
    <t>Иные бюджетные ассигнования</t>
  </si>
  <si>
    <t>Субвенции на осуществление государственных полномочий по созданию и организации деятельности муниципальных комиссий по делам несовершеннолетних и защите их прав</t>
  </si>
  <si>
    <t>Субсидия на осуществление полномочий по организации и осуществлению деятельности по опеке и попечительству в отношении совершеннолетних граждан</t>
  </si>
  <si>
    <t>Судебная система</t>
  </si>
  <si>
    <t>77 7 00 00000</t>
  </si>
  <si>
    <t>Субвенция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</si>
  <si>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Резервный фонд</t>
  </si>
  <si>
    <t>10 1 04 00000</t>
  </si>
  <si>
    <t>МП «Управление муниципальными финансами городского округа город Шахунья Нижегородской области»</t>
  </si>
  <si>
    <t>10 1 04 05000</t>
  </si>
  <si>
    <t>Резервный фонд администрации городского округа город Шахунья</t>
  </si>
  <si>
    <t>Другие общегосударственные вопросы</t>
  </si>
  <si>
    <t>02 0 02 25180</t>
  </si>
  <si>
    <t>Организация проведения специальной оценки рабочих мест, проведения диспансеризации муниципальных служащих</t>
  </si>
  <si>
    <t>Повышение эффективности профессиональной подготовки, переподготовки и повышения квалификации муниципальных служащих</t>
  </si>
  <si>
    <t>03 0 00 00000</t>
  </si>
  <si>
    <t>03 0 01 24940</t>
  </si>
  <si>
    <t>03 0 02 24940</t>
  </si>
  <si>
    <t>06 0 00 00000</t>
  </si>
  <si>
    <t>Организация проведения специальной оценки рабочих мест лиц, замещающих должности на являющиеся должностями муниципальной службы</t>
  </si>
  <si>
    <t>06 0 02 25180</t>
  </si>
  <si>
    <t>Повышение эффективности профессиональной подготовки, переподготовки и повышения квалификации, лиц замещающих должности не являющиеся должностями муниципальной  службы</t>
  </si>
  <si>
    <t>06 0 03 25190</t>
  </si>
  <si>
    <t>Содержание и оформление имущества казны</t>
  </si>
  <si>
    <t>09 0 05 03100</t>
  </si>
  <si>
    <t>10 0 00 00000</t>
  </si>
  <si>
    <t>расходы на программный продукт по казначейскому исполнению бюджета</t>
  </si>
  <si>
    <t>10 1 05 25150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</si>
  <si>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</si>
  <si>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</si>
  <si>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77 7 02 00000</t>
  </si>
  <si>
    <t>77 7 02 00590</t>
  </si>
  <si>
    <t>Предоставление субсидий бюджетным, автономным учреждениям и иным некоммерческим организациям</t>
  </si>
  <si>
    <t>77 7 С1 00590</t>
  </si>
  <si>
    <t>Прочие выплаты по обязательствам городского округа</t>
  </si>
  <si>
    <t>77 7 04 26000</t>
  </si>
  <si>
    <t>Расходы по разработке проектно-сметной документации и проведение экспертизы</t>
  </si>
  <si>
    <t>77 7 04 20220</t>
  </si>
  <si>
    <t>Средства резервного фонда Правительства Нижегородской области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</si>
  <si>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</si>
  <si>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ситуаций и стихийных бедствий, гражданская оборона</t>
  </si>
  <si>
    <t>16 0 00 00000</t>
  </si>
  <si>
    <t>16 2 01 25130</t>
  </si>
  <si>
    <t>Мероприятия по предупреждению и ликвидации последствий чрезвычайных и стихийных бедствий природного и техногенного характера</t>
  </si>
  <si>
    <t>16 3 01 25040</t>
  </si>
  <si>
    <t>16 3 01 00000</t>
  </si>
  <si>
    <t>Обеспечение деятельности Единой дежурно-диспетчерской службы</t>
  </si>
  <si>
    <t xml:space="preserve"> Расходы на выплаты персоналу в целях обеспечения выполнения функций органами местного самоуправления, казенными учреждениями</t>
  </si>
  <si>
    <t>16 3 01 00590</t>
  </si>
  <si>
    <t>Обеспечение пожарной безопасности</t>
  </si>
  <si>
    <t>Расходы на содержание добровольной пожарной охраны</t>
  </si>
  <si>
    <t>16 1 02 25110</t>
  </si>
  <si>
    <t>Расходы по приобретению и оборудованию автономными пожарными извещателями мест проживания граждан, относящихся к категории социального риска</t>
  </si>
  <si>
    <t>77 7 04 25115</t>
  </si>
  <si>
    <t>Национальная экономика</t>
  </si>
  <si>
    <t>Транспорт</t>
  </si>
  <si>
    <t>Расходы на устройство транспортно-пересадочных узлов и автостанций</t>
  </si>
  <si>
    <t>77 7 04 S2720</t>
  </si>
  <si>
    <t>Закупка товаров и услуг для муниципальных нужд</t>
  </si>
  <si>
    <t>На возмещение затрат организаций, пострадавших от распространения новой коронавирусной инфекции</t>
  </si>
  <si>
    <t>12 0 С2 S2720</t>
  </si>
  <si>
    <t>12 0 С2 72720</t>
  </si>
  <si>
    <t>Связь и информатика</t>
  </si>
  <si>
    <t>Расходы на РАСЦО</t>
  </si>
  <si>
    <t>16 4 00 00000</t>
  </si>
  <si>
    <t>Расходы по обслуживанию автоматизированной системы центрального оповещения населения</t>
  </si>
  <si>
    <t>Содержание и обслуживание РАСЦО (приобретение расходных материалов по содержанию установок)</t>
  </si>
  <si>
    <t>Расходы по абонентской плате муниципального сегмента РАСЦО</t>
  </si>
  <si>
    <t>Расходы по оплате электроэнергии муниципального сегмента РАСЦО</t>
  </si>
  <si>
    <t>Расходы на обеспечение доступа к системе электронного документооборота</t>
  </si>
  <si>
    <t>77 7 00 S2300</t>
  </si>
  <si>
    <t>77 7 04 S2300</t>
  </si>
  <si>
    <t>77 7 06 S2300</t>
  </si>
  <si>
    <t>Другие вопросы в области национальной экономики</t>
  </si>
  <si>
    <t>Мероприятия в рамках программы «Развитие предпринимательства»</t>
  </si>
  <si>
    <t>13 0 00 29030</t>
  </si>
  <si>
    <t>13 0 03 29030</t>
  </si>
  <si>
    <t>Субсидия центру развития бизнеса (совершенствование  работы в том числе внедрение новых услуг)</t>
  </si>
  <si>
    <t>13 0 05 29030</t>
  </si>
  <si>
    <t>Финансовая и инвестиционная поддержка субъектов малого и среднего предпринимательства</t>
  </si>
  <si>
    <t>13 0 06 29030</t>
  </si>
  <si>
    <t>Расходы на проведение ПСД, проведение экспертизы объектов</t>
  </si>
  <si>
    <t>На возмещение затрат организаций, пострадавших от распространения новой коронавирусной инфекции, на оплата коммунальных услуг</t>
  </si>
  <si>
    <t>На поддержку самозанятых граждан, пострадавших от распространения новой коронавирусной инфекции</t>
  </si>
  <si>
    <t>На возмещение части затрат организаций, пострадавших от распространения новой коронавирусной инфекции, на оплата труда работников</t>
  </si>
  <si>
    <t xml:space="preserve">Жилищно-коммунальное хозяйство </t>
  </si>
  <si>
    <t>Жилищное хозяйство</t>
  </si>
  <si>
    <t>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</si>
  <si>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16 3 01 S2400</t>
  </si>
  <si>
    <t>Капитальные вложения в объекты государственной (муниципальной) собственности</t>
  </si>
  <si>
    <t>Прочие расходы в области жилищного хозяйства</t>
  </si>
  <si>
    <t>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за счет средств городского округа</t>
  </si>
  <si>
    <t>Средства резервного фонда Правительства Нижегородской области на мероприятия по борьбе с коронавирусом</t>
  </si>
  <si>
    <t>Коммунальное хозяйство</t>
  </si>
  <si>
    <t>Прочие мероприятия в области коммунального хозяйства</t>
  </si>
  <si>
    <t>77 7 03 29710</t>
  </si>
  <si>
    <t>77 7 06 21000</t>
  </si>
  <si>
    <t>Благоустройство</t>
  </si>
  <si>
    <t>мероприятий по благоустройству дворовых территорий и общественных пространств городского округа город Шахунья Нижегородской области</t>
  </si>
  <si>
    <t>22 0 F25555A</t>
  </si>
  <si>
    <t>Обеспечение деятельности дежурно-диспетчерской службы ЖКХ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</si>
  <si>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</si>
  <si>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строительство и реконструкцию (модернизацию) объектов питьевого водоснабжения</t>
  </si>
  <si>
    <t>Капитальные вложения в объекты недвижимого имущества муниципальной собственности</t>
  </si>
  <si>
    <t>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</t>
  </si>
  <si>
    <t>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за счет средств федерального бюджета</t>
  </si>
  <si>
    <t>Охрана окружающей среды</t>
  </si>
  <si>
    <t>Сбор, удаление отходов и очистка сточных вод</t>
  </si>
  <si>
    <t>Расходы по разработке проектно-сметной документации, проведение экспертизы объектов</t>
  </si>
  <si>
    <t>77 7 04 25090</t>
  </si>
  <si>
    <t>Образование</t>
  </si>
  <si>
    <t>Общее образование</t>
  </si>
  <si>
    <t>01 1 03 S2510</t>
  </si>
  <si>
    <t>на строительство зданий общеобразовательных организаций за счет средств областного бюджета</t>
  </si>
  <si>
    <t>01 1 03 72510</t>
  </si>
  <si>
    <t>Расходы по разработке проектно-сметной документации, экспертиза объектов</t>
  </si>
  <si>
    <t>Дополнительное образование детей</t>
  </si>
  <si>
    <t>Обеспечение деятельности подведомственных учреждений спорта,реализующих образовательные программы</t>
  </si>
  <si>
    <t>11 3 03 87590</t>
  </si>
  <si>
    <t>Функционирование модели персонифицированного финансирования дополнительного образования детей</t>
  </si>
  <si>
    <t>01 2 08 23590</t>
  </si>
  <si>
    <t xml:space="preserve">Культура и кинематография </t>
  </si>
  <si>
    <t>Мероприятия в области культуры и кинематографии</t>
  </si>
  <si>
    <t>08 5 05 25220</t>
  </si>
  <si>
    <t>Социальная политика</t>
  </si>
  <si>
    <t>Пенсионное обеспечение</t>
  </si>
  <si>
    <t>02 0 00 00000</t>
  </si>
  <si>
    <t>Ежемесячная доплата к пенсиям лицам, замещающим муниципальные должности</t>
  </si>
  <si>
    <t>02 0 07 29970</t>
  </si>
  <si>
    <t>Социальное обеспечение и иные выплаты населению</t>
  </si>
  <si>
    <t>Социальное обеспечение населения</t>
  </si>
  <si>
    <t>МП «Обеспечение безопасности жизнедеятельности населения городского округа город Шахунья Нижегородской области на 2018-2023 годы»</t>
  </si>
  <si>
    <t>16 3 00 00000</t>
  </si>
  <si>
    <t>Расходы на оказание материальной помощи гражданам, оказавшимся в трудной жизненной ситуации</t>
  </si>
  <si>
    <t>16 3 01 28120</t>
  </si>
  <si>
    <t>МП «Обеспечение жильем молодых семей в городском округе город Шахунья Нижегородской области" на период 2018-2020 годы»</t>
  </si>
  <si>
    <t>20 0 00 00000</t>
  </si>
  <si>
    <t>Мероприятия по компенсации части % ставки по программе «Молодой семье доступное жильё»</t>
  </si>
  <si>
    <t>20 0 03 00000</t>
  </si>
  <si>
    <t>20 0 03 28240</t>
  </si>
  <si>
    <t>Субвенция на обеспечение жильем инвалидов</t>
  </si>
  <si>
    <t>Субвенция на обеспечение жильем иных категорий граждан</t>
  </si>
  <si>
    <t>Охрана семьи и детства</t>
  </si>
  <si>
    <t>Субвенция на обеспечение детей-сирот и детей оставшихся без попечения родителей, лиц из числа детей-сирот и детей жилыми помещениями</t>
  </si>
  <si>
    <t>77 7 06 73150</t>
  </si>
  <si>
    <t>77 7 06 R0820</t>
  </si>
  <si>
    <t>77 7 05 R0820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</si>
  <si>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</si>
  <si>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77 7 06 73120</t>
  </si>
  <si>
    <t>Спорт и физическая культура</t>
  </si>
  <si>
    <t>Мероприятия в области спорта и физической культуры</t>
  </si>
  <si>
    <t>11 1 00 00000</t>
  </si>
  <si>
    <t>Иные выплаты</t>
  </si>
  <si>
    <t>11 1 01 25270</t>
  </si>
  <si>
    <t>Обеспечение деятельности подведомственных учреждений спорта</t>
  </si>
  <si>
    <t>11 3 03 00000</t>
  </si>
  <si>
    <t>Субсидии на выплату заработной платы с начислениями на нее работникам муниципальных учреждений и органов местного самоуправления</t>
  </si>
  <si>
    <t>11 3 03 S2090</t>
  </si>
  <si>
    <t>Средства массовой информации</t>
  </si>
  <si>
    <t>Непрограммные расходы</t>
  </si>
  <si>
    <t>77 0 00 00000</t>
  </si>
  <si>
    <t>Телевидение и радиовещание</t>
  </si>
  <si>
    <t>субсидии телерадиокомпаниям и теле радиопередачам</t>
  </si>
  <si>
    <t>77 7 00 S2050</t>
  </si>
  <si>
    <t>Субсидия бюджетным, автономным учреждениям и иным некоммерческим организациям</t>
  </si>
  <si>
    <t>77 7 07 S2050</t>
  </si>
  <si>
    <t>77 7 06 S2050</t>
  </si>
  <si>
    <t>Периодическая печать и издательства</t>
  </si>
  <si>
    <t>Государственная поддержка в сфере культуры, кинематографии и СМИ</t>
  </si>
  <si>
    <t>Обслуживание государственного и муниципального долга</t>
  </si>
  <si>
    <t>Процентные платежи по муниципальному долгу городского округа</t>
  </si>
  <si>
    <t>10 1 08 27000</t>
  </si>
  <si>
    <t>Обслуживание муниципального долга</t>
  </si>
  <si>
    <t>Управление по работе с территориями и благоустройству</t>
  </si>
  <si>
    <t>16 1 04 25040</t>
  </si>
  <si>
    <t>Обеспечение деятельности подведомственных учреждений – муниципальные противопожарные депо</t>
  </si>
  <si>
    <t>16 1 02 47590</t>
  </si>
  <si>
    <t>Расходы на выплату персоналу казенных учреждений</t>
  </si>
  <si>
    <t>16 1 02 S2090</t>
  </si>
  <si>
    <t>Дорожное хозяйство</t>
  </si>
  <si>
    <t>Содержание автомобильных дорог в рамках благоустройства</t>
  </si>
  <si>
    <t>05 0 03 02030</t>
  </si>
  <si>
    <t>Ремонт дорог в городском округе</t>
  </si>
  <si>
    <t>12 0 01 00000</t>
  </si>
  <si>
    <t>12 0 01 02030</t>
  </si>
  <si>
    <t>12 0 01 S2210</t>
  </si>
  <si>
    <t>На предоставление грантов на награждение победителей смотра-конкурса на звание " Лучшие муниципальные образования НО в сфере благоустройства и дорожной деятельности"</t>
  </si>
  <si>
    <t>07 3 01 29700</t>
  </si>
  <si>
    <t>Мероприятия на обустройство контейнерных площадок и на приобретение мусорных контейнеров</t>
  </si>
  <si>
    <t>23 0 01 S2670</t>
  </si>
  <si>
    <t>Расходы на приобретение мусорных контейнеров и (или) бункеров</t>
  </si>
  <si>
    <t>23 0 02 74700</t>
  </si>
  <si>
    <t>Уличное освещение</t>
  </si>
  <si>
    <t>05 0 02 00000</t>
  </si>
  <si>
    <t>05 0 02 25010</t>
  </si>
  <si>
    <t>Мероприятия на реализацию проектов по поддержке местных инициатив</t>
  </si>
  <si>
    <t>Содержание мест захоронения</t>
  </si>
  <si>
    <t>05 0 06 00000</t>
  </si>
  <si>
    <t>05 0 06 25040</t>
  </si>
  <si>
    <t>Озеленение</t>
  </si>
  <si>
    <t>05 0 07 00000</t>
  </si>
  <si>
    <t>05 0 07 25030</t>
  </si>
  <si>
    <t xml:space="preserve">Прочие мероприятия по благоустройству городских округов и поселений                                                      </t>
  </si>
  <si>
    <t>05 0 08 00000</t>
  </si>
  <si>
    <t>05 0 08 25050</t>
  </si>
  <si>
    <t>05 0 09 00000</t>
  </si>
  <si>
    <t>МБУ «Благоустройство»</t>
  </si>
  <si>
    <t>05 0 09 00590</t>
  </si>
  <si>
    <t>Муниципальное казенное учреждение культуры «Центр организационно-методической работы учреждений культуры городского округа город Шахунья Нижегородской области</t>
  </si>
  <si>
    <t>МП «Развитие культуры в городском округе город Шахунья Нижегородской области»</t>
  </si>
  <si>
    <t>Обеспечение деятельности учреждений дополнительного образования</t>
  </si>
  <si>
    <t>08 2 03 00000</t>
  </si>
  <si>
    <t>08 2 03 23590</t>
  </si>
  <si>
    <t>77 7 06 22000</t>
  </si>
  <si>
    <t>Молодежная политика</t>
  </si>
  <si>
    <t>Мероприятия по организации оздоровительной компании детей</t>
  </si>
  <si>
    <t>01 6 00 00000</t>
  </si>
  <si>
    <t>мероприятия в рамках проекта "дворовая практика"</t>
  </si>
  <si>
    <t>01 6 01 25170</t>
  </si>
  <si>
    <t>Культура и кинематография</t>
  </si>
  <si>
    <t>Библиотеки</t>
  </si>
  <si>
    <t>08 3 00 00000</t>
  </si>
  <si>
    <t>Обеспечение деятельности муниципальных библиотек</t>
  </si>
  <si>
    <t>08 3 05 42590</t>
  </si>
  <si>
    <t>08 3 05 S2090</t>
  </si>
  <si>
    <t>Субсидии на поддержку отрасли культуры(лучшие работники учреждений культуры)</t>
  </si>
  <si>
    <t>08 3 01 L5190</t>
  </si>
  <si>
    <t>Субсидии на поддержку отрасли культуры(комплектование книжных фондов, подключение к сети интернет)</t>
  </si>
  <si>
    <t>08 3 03 L5190</t>
  </si>
  <si>
    <t>Музеи</t>
  </si>
  <si>
    <t>08 4 00 00000</t>
  </si>
  <si>
    <t>Расходы на обеспечение деятельности музеев</t>
  </si>
  <si>
    <t>08 4 03 41590</t>
  </si>
  <si>
    <t>08 4 03 S2090</t>
  </si>
  <si>
    <t>Дворцы и дома культуры</t>
  </si>
  <si>
    <t>08 5 00 00000</t>
  </si>
  <si>
    <t>Обеспечение деятельности клубных учреждений</t>
  </si>
  <si>
    <t>08 5 06 40590</t>
  </si>
  <si>
    <t>08 5 06 S2090</t>
  </si>
  <si>
    <t>Субсидии на поддержку отрасли культуры (лучшие учреждения культуры)</t>
  </si>
  <si>
    <t xml:space="preserve">08 1 02 L5190 </t>
  </si>
  <si>
    <t>На обеспечение развития и укрепления материально-технической базы домов культуры</t>
  </si>
  <si>
    <t>08 1 02 L4670</t>
  </si>
  <si>
    <t>Субсидии на поддержку отрасли культуры</t>
  </si>
  <si>
    <t>08 1 A1 55190</t>
  </si>
  <si>
    <t>Укрепление материально-технической базы</t>
  </si>
  <si>
    <t>08 1 02 00040</t>
  </si>
  <si>
    <t>Другие вопросы в области культуры</t>
  </si>
  <si>
    <t>Обеспечение деятельности МКУ ЦО ДУК</t>
  </si>
  <si>
    <t>Обеспечение деятельности МКУК «Центр организационно-методической работы учреждений культуры»</t>
  </si>
  <si>
    <t>08 6 02 00000</t>
  </si>
  <si>
    <t>08 6 02 00590</t>
  </si>
  <si>
    <t>08 6 02 S0590</t>
  </si>
  <si>
    <t>Финансовое управление администрации городского округа город Шахунья</t>
  </si>
  <si>
    <t xml:space="preserve">Обеспечение деятельности финансовых, налоговых и таможенных органов и органов надзора </t>
  </si>
  <si>
    <t>10 3 00 00000</t>
  </si>
  <si>
    <t>10 3 01 00000</t>
  </si>
  <si>
    <t>Содержание аппарата управления</t>
  </si>
  <si>
    <t>Расходы на обеспечение функций муниципальных органов</t>
  </si>
  <si>
    <t>10 3 01 00190</t>
  </si>
  <si>
    <t>10 3 01 S2090</t>
  </si>
  <si>
    <t>Совет депутатов городского округа город Шахунья</t>
  </si>
  <si>
    <t>Функционирование председателя Совета депутатов</t>
  </si>
  <si>
    <t>77 7 01 11000</t>
  </si>
  <si>
    <t>Содержание контрольно-счетного органа</t>
  </si>
  <si>
    <t xml:space="preserve">77 7 01 00000 </t>
  </si>
  <si>
    <t>77 7 01 07060</t>
  </si>
  <si>
    <t>Управление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</si>
  <si>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</si>
  <si>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77 7 06 73020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</si>
  <si>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</si>
  <si>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Дошкольное образование</t>
  </si>
  <si>
    <t>01 1 00 00000</t>
  </si>
  <si>
    <t>Детские дошкольные учреждения</t>
  </si>
  <si>
    <t>Расходы на обеспечение деятельности детских дошкольных учреждений</t>
  </si>
  <si>
    <t>01 1 01 20590</t>
  </si>
  <si>
    <t xml:space="preserve">Расходы на предупреждение распространения, профилактика, диагностика и лечение от новой короновирусной инфекции </t>
  </si>
  <si>
    <t>01 1 01 S2090</t>
  </si>
  <si>
    <t>На исполнение полномочий в сфере общего образования в муниципальных дошкольных образовательных организациях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</si>
  <si>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</si>
  <si>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01 1 03 00040</t>
  </si>
  <si>
    <t>Капитальный ремонт образовательных организаций, реализующих общеобразовательные программы</t>
  </si>
  <si>
    <t xml:space="preserve">Общее образование </t>
  </si>
  <si>
    <t>Школы-детские сады, школы начальные, неполные и средние</t>
  </si>
  <si>
    <t>Расходы на осуществление деятельности школ</t>
  </si>
  <si>
    <t>01 1 02 21590</t>
  </si>
  <si>
    <t>01 1 С1 21590</t>
  </si>
  <si>
    <t>01 1 02 S2090</t>
  </si>
  <si>
    <t>Субсидии на осуществление полномочий в сфере общего образования в муниципальных общеобразовательных организациях</t>
  </si>
  <si>
    <t>01 1 02 73070</t>
  </si>
  <si>
    <t>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</t>
  </si>
  <si>
    <t>01 1 02 73180</t>
  </si>
  <si>
    <t>01 1 03 S2180</t>
  </si>
  <si>
    <t>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</si>
  <si>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Муниципальная программа «Безопасность дорожного движения»</t>
  </si>
  <si>
    <t>24 0 00 00000</t>
  </si>
  <si>
    <t>Расходы на приобретение светоотражающих элементов для обучающихся образовательных учреждений</t>
  </si>
  <si>
    <t>24 0 02 25260</t>
  </si>
  <si>
    <t>Учреждения по внешкольной работе с детьми</t>
  </si>
  <si>
    <t>Расходы на обеспечение деятельности муниципальных учреждений дополнительного образования</t>
  </si>
  <si>
    <t>01 2 01 S2090</t>
  </si>
  <si>
    <t>Мероприятия по участию в международных соревнованиях, турнирах</t>
  </si>
  <si>
    <t>01 2 07 25270</t>
  </si>
  <si>
    <t>Прочие выплаты</t>
  </si>
  <si>
    <t>Расходы по проведению мероприятий по патриотическому воспитанию молодежи</t>
  </si>
  <si>
    <t>01 3 03 24010</t>
  </si>
  <si>
    <t>Субвенция на осуществление выплат на возмещение части расходов по приобретению путевок в детские санатории, санатории- оздоровительные центры (лагеря) круглогодичного действия, расположенные на территории РФ</t>
  </si>
  <si>
    <t xml:space="preserve">Другие вопросы в области образования </t>
  </si>
  <si>
    <t>Расходы на обеспечение деятельности подведомственных учреждений</t>
  </si>
  <si>
    <t>Обеспечение деятельности МКУ «МСЦСО»</t>
  </si>
  <si>
    <t>01 1 04 00000</t>
  </si>
  <si>
    <t>01 1 04 S2090</t>
  </si>
  <si>
    <t>01 1 04 35590</t>
  </si>
  <si>
    <t>Мероприятия в области образования</t>
  </si>
  <si>
    <t>01 4 03 24010</t>
  </si>
  <si>
    <t>Организация участия обучающихся и воспитанников ОО в конкурсном движении</t>
  </si>
  <si>
    <t>01 5 03 24010</t>
  </si>
  <si>
    <t>Организация и проведение мероприятий по награждению одаренных детей</t>
  </si>
  <si>
    <t>01 5 04 24010</t>
  </si>
  <si>
    <t>адресная индивидуальная поддержка одаренных детей и молодежи</t>
  </si>
  <si>
    <t>01 5 05 00000</t>
  </si>
  <si>
    <t>Социальное обеспечение и прочие выплаты</t>
  </si>
  <si>
    <t>01 5 05 24010</t>
  </si>
  <si>
    <t>77 7 01 00190</t>
  </si>
  <si>
    <t>Субвенции на осуществление отдельных государственных полномочий по организационно-техническому и информационно-методическому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предъявленным к первой квалификационной категории</t>
  </si>
  <si>
    <t>Развитие молодежной политики в городском округе город Шахунья Нижегородской области</t>
  </si>
  <si>
    <t>01 7 00 00000</t>
  </si>
  <si>
    <t>Мероприятия по формированию условий для создания развития гармоничной молодой семьи</t>
  </si>
  <si>
    <t>01 7 01 25270</t>
  </si>
  <si>
    <t>Мероприятия по популяризации здорового образа жизни и занятия спортом, культуры безопасности в молодежной среде</t>
  </si>
  <si>
    <t>01 7 02 25270</t>
  </si>
  <si>
    <t>Мероприятия по развитию и поддержке талантливой молодежи</t>
  </si>
  <si>
    <t>01 7 03 25270</t>
  </si>
  <si>
    <t>Мероприятия по вовлечению молодежи в работу средств массовой информации</t>
  </si>
  <si>
    <t>01 7 04 25270</t>
  </si>
  <si>
    <t>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</si>
  <si>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01 1 01 73110</t>
  </si>
  <si>
    <t>Управление сельского хозяйства администрации городского округа город Шахунья</t>
  </si>
  <si>
    <t>Сельское хозяйство и рыболовство</t>
  </si>
  <si>
    <t>Подпрограмма 1 «Развитие сельского хозяйства и перерабатывающей промышленности городского округа город Шахунья до 2020 года»</t>
  </si>
  <si>
    <t>04 1 00 00000</t>
  </si>
  <si>
    <t>Субвенции на возмещение части затрат на приобретение оборудования и техники</t>
  </si>
  <si>
    <t>Субвенции на возмещение части затрат на приобретение элитных семян</t>
  </si>
  <si>
    <t>Возмещение части затрат на уплату % по инвестиционным кредитам в АПК</t>
  </si>
  <si>
    <t>Реализация мероприятий, направленных на развитие сельского хозяйства и перерабатывающей промышленности (субсидирование части затрат в области животноводства)</t>
  </si>
  <si>
    <t>04 1 02 28100</t>
  </si>
  <si>
    <t>Реализация мероприятий в повышении заинтересованности в распространении передового опыта в АП и улучшения результатов деятельности проведение конкурсов, слетов, выставок и других мероприятий (Закупка товаров, работ и услуг для муниципальных нужд)</t>
  </si>
  <si>
    <t>04 1 10 28100</t>
  </si>
  <si>
    <t>реализация мероприятий по борьбе со злостным сорняком борщевик Сосновского"</t>
  </si>
  <si>
    <t>04 1 13 28100</t>
  </si>
  <si>
    <t>Подпрограмма 3 «Эпизоотическое благополучие городского округа г. Шахунья Нижегородской области»</t>
  </si>
  <si>
    <t>На проведение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</si>
  <si>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04 4 01 00190</t>
  </si>
  <si>
    <t>Субвенция на осуществление полномочий по поддержке сельскохозяйственного производства</t>
  </si>
  <si>
    <t>04 4 01 73030</t>
  </si>
  <si>
    <t>Управление экономики, прогнозирования, инвестиционной политики и муниципального имущества</t>
  </si>
  <si>
    <t>77 7 01 0190</t>
  </si>
  <si>
    <t>Мероприятия по проведению топографической съемки, инвентаризации и паспортизации муниципального имущества, приобретение в муниципальную собственность объектов недвижимости и земельных участков</t>
  </si>
  <si>
    <t>09 0 02 25020</t>
  </si>
  <si>
    <t>Установление границ населенных пунктов городского округа город Шахунья</t>
  </si>
  <si>
    <t>09 0 03 25090</t>
  </si>
  <si>
    <t>Проведение кадастровых и оценочных работ, мероприятий по землеустройству и землепользованию</t>
  </si>
  <si>
    <t>09 0 06 25090</t>
  </si>
  <si>
    <t>Жилищно-коммунальное хозяйство</t>
  </si>
  <si>
    <t>Муниципальная программа «Обеспечение населения городского округа город Шахунья Нижегородской области качественными услугами в сфере жилищно-коммунального хозяйства»</t>
  </si>
  <si>
    <t>07 0 00 00000</t>
  </si>
  <si>
    <t>расходы на проведение капитального ремонта общего имущества в многоквартирных домах</t>
  </si>
  <si>
    <t>07 1 01 02000</t>
  </si>
  <si>
    <t>Подпрограмма 2 «Проведение капитального ремонта муниципальных жилых помещений жилого фонда и нежилых помещений муниципальной формы собственности городского округа город Шахунья Нижегородской области»</t>
  </si>
  <si>
    <t>07 2 00 00000</t>
  </si>
  <si>
    <t>07 2 01 02000</t>
  </si>
  <si>
    <t>ИТОГО</t>
  </si>
  <si>
    <t>01</t>
  </si>
  <si>
    <t>00</t>
  </si>
  <si>
    <t>13</t>
  </si>
  <si>
    <t>200</t>
  </si>
  <si>
    <t>0</t>
  </si>
  <si>
    <t>02 0 03 25190</t>
  </si>
  <si>
    <t>77 7 06 71040</t>
  </si>
  <si>
    <t>08 1 00 00000</t>
  </si>
  <si>
    <t>16 1 01 25040</t>
  </si>
  <si>
    <t>10</t>
  </si>
  <si>
    <t>800</t>
  </si>
  <si>
    <t>600</t>
  </si>
  <si>
    <t>08 6 01 00000</t>
  </si>
  <si>
    <t>08 6 01 46590</t>
  </si>
  <si>
    <t>08 6 01 S2090</t>
  </si>
  <si>
    <t>01 1 02 L3040</t>
  </si>
  <si>
    <t>77 7 С1 21000</t>
  </si>
  <si>
    <t>01 4 00 00000</t>
  </si>
  <si>
    <t>01 5 00 00000</t>
  </si>
  <si>
    <t>04 1 01 73220</t>
  </si>
  <si>
    <t>04 1 01 73260</t>
  </si>
  <si>
    <t>04 1 01 R5080</t>
  </si>
  <si>
    <t>04 1 02 73270</t>
  </si>
  <si>
    <t>04 1 02 73290</t>
  </si>
  <si>
    <t>04 1 02 R5080</t>
  </si>
  <si>
    <t>04 1 03 73250</t>
  </si>
  <si>
    <t>04 1 03 R4330</t>
  </si>
  <si>
    <t>04 3 02 73310</t>
  </si>
  <si>
    <t>09 0 00 00000</t>
  </si>
  <si>
    <t>12</t>
  </si>
  <si>
    <t>03</t>
  </si>
  <si>
    <t>04</t>
  </si>
  <si>
    <t>05</t>
  </si>
  <si>
    <t>06</t>
  </si>
  <si>
    <t>07</t>
  </si>
  <si>
    <t>08</t>
  </si>
  <si>
    <t>02</t>
  </si>
  <si>
    <t>09</t>
  </si>
  <si>
    <t>77 7 05 51350</t>
  </si>
  <si>
    <t>77 7 05 51760</t>
  </si>
  <si>
    <t>300</t>
  </si>
  <si>
    <t>Средства фонда на поддержку территорий</t>
  </si>
  <si>
    <t>Предупреждение распространения, профилактика, диагностика и лечение от новой коронавирусной инфекции</t>
  </si>
  <si>
    <t>Дотации на предоставление грантов за достижение наилучших значений показателей эффективности деятельности органов местного самоуправления</t>
  </si>
  <si>
    <t>Субсидии бюджетным учреждениям на иные цели</t>
  </si>
  <si>
    <t>Подпрограмма №4 "Кадровое обеспечение  сферы образования городского округа город Шахунья</t>
  </si>
  <si>
    <t>Подпрограмма №5 "Одаренные дети"</t>
  </si>
  <si>
    <t>Субвенция на обеспечение прироста сельскохозяйственной продукции собственного производства в рамках приоритетных отраслей агропромышленного комплекса за счет средств областного бюджета</t>
  </si>
  <si>
    <t>074</t>
  </si>
  <si>
    <t>01 1 03 25040</t>
  </si>
  <si>
    <t>Расходы на проведение мероприятий по обеспечению пожарной безопасности в муниципальных учреждениях округа</t>
  </si>
  <si>
    <t>082</t>
  </si>
  <si>
    <t>001</t>
  </si>
  <si>
    <t>План на 2020 год</t>
  </si>
  <si>
    <t>Субсидии на реализацию мероприятий по обеспечению удаленных населенных пунктов Нижегородской области товарами первой необходимости (проект "Автолавки в село")</t>
  </si>
  <si>
    <t>Субсидии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начального общего образования</t>
  </si>
  <si>
    <t>01 1 02 53030</t>
  </si>
  <si>
    <t>Исполнено на 01.01.2021</t>
  </si>
  <si>
    <t>Иные межбюджетные трансферты на поощрение муниципальных управленческих команд в 2020 году</t>
  </si>
  <si>
    <t>777 06 5549F</t>
  </si>
  <si>
    <t>100</t>
  </si>
  <si>
    <t>МП "Управление муниципальным имуществом городского округа город Шахунья Нижегородской области"</t>
  </si>
  <si>
    <t>МП «Совершенствование условий труда лиц, замещающих должности, не являющиеся должностями муниципальной службы администрации городского округа город Шахунья Нижегородской области»</t>
  </si>
  <si>
    <t xml:space="preserve">                                                </t>
  </si>
  <si>
    <t>Приложение 4</t>
  </si>
  <si>
    <t>городского округа город Шахунья Нижегородской области</t>
  </si>
  <si>
    <t>(тыс. руб.)</t>
  </si>
  <si>
    <t>777 01 03000</t>
  </si>
  <si>
    <t>777 С1 00190</t>
  </si>
  <si>
    <t>777 06 73040</t>
  </si>
  <si>
    <t>777 06 73060</t>
  </si>
  <si>
    <t>777 05 51200</t>
  </si>
  <si>
    <t>Содержание и оформление имущества, составляющего казну городского округа</t>
  </si>
  <si>
    <t>Средства резервного фонда Правительства Нижегородской оласти</t>
  </si>
  <si>
    <t>77 W 6 21000</t>
  </si>
  <si>
    <t>Расходы на предупреждение распространения, профилактика, диагностика и лечение от новой короновирусной инфекции</t>
  </si>
  <si>
    <t>77 7 С1 26000</t>
  </si>
  <si>
    <t>расходы на проведение мероприятий по профилактическим мерам антитеррористического характера</t>
  </si>
  <si>
    <t>12 0 C2 00000</t>
  </si>
  <si>
    <t>164 01  S2370</t>
  </si>
  <si>
    <t>164 02 25140</t>
  </si>
  <si>
    <t>164 03 25140</t>
  </si>
  <si>
    <t>164 04 25140</t>
  </si>
  <si>
    <t>77 7 C2 74190</t>
  </si>
  <si>
    <t>77 7 C2 74210</t>
  </si>
  <si>
    <t>77 7 C2 74220</t>
  </si>
  <si>
    <t>777 03 03030</t>
  </si>
  <si>
    <t>777 F3 00000</t>
  </si>
  <si>
    <t>777 F3 6748S</t>
  </si>
  <si>
    <t>777 F3 67483</t>
  </si>
  <si>
    <t>777 F3 67484</t>
  </si>
  <si>
    <t>777 С1 21000</t>
  </si>
  <si>
    <t>000 00 00000</t>
  </si>
  <si>
    <t>777 G5 5243A</t>
  </si>
  <si>
    <t>777 06 00000</t>
  </si>
  <si>
    <t>777 06 73050</t>
  </si>
  <si>
    <t>777 F2 54240</t>
  </si>
  <si>
    <t>777 G6S268A</t>
  </si>
  <si>
    <t>Проведение работ по межеванию участков для очистных сооружений</t>
  </si>
  <si>
    <t>на строительство зданий общеобразовательных организаций</t>
  </si>
  <si>
    <t>777 04 20220</t>
  </si>
  <si>
    <t>01 6 0425170</t>
  </si>
  <si>
    <t>777 00 00000</t>
  </si>
  <si>
    <t>расходы на проведение мероприятий по обеспечению пожарной безопасности населенных пунктов и муниципальных учреждений округа</t>
  </si>
  <si>
    <t>777  06 74800</t>
  </si>
  <si>
    <t>05 0 0225010</t>
  </si>
  <si>
    <t>050 05 S2600</t>
  </si>
  <si>
    <t>05 0 08S2190</t>
  </si>
  <si>
    <t>мероприятия по коронавирусу на территории общественных пространств</t>
  </si>
  <si>
    <t>05 0 С125050</t>
  </si>
  <si>
    <t>08 0 00 00000</t>
  </si>
  <si>
    <t>Мероприятия в рамках проекта «дворовая практика»</t>
  </si>
  <si>
    <t>082 03 S2090</t>
  </si>
  <si>
    <t>08 1 02 L5190</t>
  </si>
  <si>
    <t>086 01 46590</t>
  </si>
  <si>
    <t>Члены законодательной(представительной) власти местного самоуправления</t>
  </si>
  <si>
    <t>Общеэкономические вопросы</t>
  </si>
  <si>
    <t>расходы на проведение мероприятий по организации трудовых бригат</t>
  </si>
  <si>
    <t>01 6 03 25170</t>
  </si>
  <si>
    <t>01 1 01 00000</t>
  </si>
  <si>
    <t>011 01 73080</t>
  </si>
  <si>
    <t>011 01 73170</t>
  </si>
  <si>
    <t>01 1С1 20590</t>
  </si>
  <si>
    <t>01 1 02 00000</t>
  </si>
  <si>
    <t>777 06 73140</t>
  </si>
  <si>
    <t>01 1 0300040</t>
  </si>
  <si>
    <t>01 2 01 00000</t>
  </si>
  <si>
    <t>01 2  01 23590</t>
  </si>
  <si>
    <t>016 02 73320</t>
  </si>
  <si>
    <t xml:space="preserve">Руководство и управление в сфере установленных функций </t>
  </si>
  <si>
    <t>777 06 73010</t>
  </si>
  <si>
    <t>Субсидия на возмещение части затрат на приобретение элитных семян</t>
  </si>
  <si>
    <t>Субвенция на поддержку племенного животноводства</t>
  </si>
  <si>
    <t>Субвенция на возмещение части процентной ставки по инвестиц.кредитам</t>
  </si>
  <si>
    <t>04 4 01 00000</t>
  </si>
  <si>
    <t xml:space="preserve"> Подпрограмма 1 «Проведение капитального ремонта общего имущества в многоквартирных домах, расположенных на территории городского округа город Шахунья Нижегородской области»</t>
  </si>
  <si>
    <t>07 1 01 00000</t>
  </si>
  <si>
    <t>Мероприятия по обеспечению и предупреждению чрезвычайных и стихийных бедствий природного и техногенного характера в населенных пунктах округа (опашка населенных пунктов)</t>
  </si>
  <si>
    <t>000</t>
  </si>
  <si>
    <t>Непрограмные расходы за счёт средств областного бюджета</t>
  </si>
  <si>
    <t>Проведение выборов</t>
  </si>
  <si>
    <t>Прочие непрграммные расходы</t>
  </si>
  <si>
    <t>777 04 00002</t>
  </si>
  <si>
    <t>777 04 00000</t>
  </si>
  <si>
    <t>77 7 05 00000</t>
  </si>
  <si>
    <t>МП «Обеспечение общественного порядка и противодействия преступности в городском округе город Шахунья Нижегородской области»</t>
  </si>
  <si>
    <t>77 7 04 00000</t>
  </si>
  <si>
    <t>77 7 С1 00000</t>
  </si>
  <si>
    <t>777 01 00000</t>
  </si>
  <si>
    <t>12 0 00 00000</t>
  </si>
  <si>
    <t>Непрграммные расходы</t>
  </si>
  <si>
    <t>МП «Развитие предпринимательства в городском округе город Шахунья Нижегородской области»</t>
  </si>
  <si>
    <t>13 0 00 00000</t>
  </si>
  <si>
    <t>130 06 72060</t>
  </si>
  <si>
    <t>130 06 S2060</t>
  </si>
  <si>
    <t>130 06 00000</t>
  </si>
  <si>
    <t>777 04 26000</t>
  </si>
  <si>
    <t>МП «Формирование комфортной городской среды городского округа город Шахунья Нижегородской области на 2018-2022 годы»</t>
  </si>
  <si>
    <t>22 0 00 00000</t>
  </si>
  <si>
    <t>77 7 00 0000</t>
  </si>
  <si>
    <t>7 7 04 25090</t>
  </si>
  <si>
    <t>Услуги по проектированию планировки и межевания территории для размещения очистных сооружений в р.п.Вахтан</t>
  </si>
  <si>
    <t>77 04 25090</t>
  </si>
  <si>
    <t>МП «Обеспечение безопасности жизнедеятельности населения и территорий городского округа город Шахунья Нижегородской области на 2018-2023 годы»</t>
  </si>
  <si>
    <t>Другие вопросы в области жилищно-коммунального хозяйства</t>
  </si>
  <si>
    <t>Непррограммные расходы</t>
  </si>
  <si>
    <t>Непроограммные расходы</t>
  </si>
  <si>
    <t>01 0 00 00000</t>
  </si>
  <si>
    <t>Муниципальная программа «Развитие системы образования в городском округе город Шахунья Нижегородской области на 2018-2023 годы»</t>
  </si>
  <si>
    <t>МП «Развитие физической культуры и спорта в городском округе город Шахунья Нижегородской области на 2020-2022 годы»</t>
  </si>
  <si>
    <t>11 0 00 00000</t>
  </si>
  <si>
    <t>МП «Развитие муниципальной службы в городском округе город Шахунья Нижегородской области на 2020-2023 годы»</t>
  </si>
  <si>
    <t>10 1 00 00000</t>
  </si>
  <si>
    <t>МП «Благоустройство территории городского округа город Шахунья Нижегородской области»</t>
  </si>
  <si>
    <t>05 0 00 00000</t>
  </si>
  <si>
    <t>МП «Развитие транспортной системы в городском округе город Шахунья Нижегородской области»</t>
  </si>
  <si>
    <t>МП «Обеспечение населения городского округа город Шахунья Нижегородской области качественными услугами в сфере жилищно-коммунального хозяйства»</t>
  </si>
  <si>
    <t>23 0 00 00000</t>
  </si>
  <si>
    <t>77 7 04 25040</t>
  </si>
  <si>
    <t>Ликвидация последствий стихийных и чрезвычайных действий природного техогенного характера</t>
  </si>
  <si>
    <t>057</t>
  </si>
  <si>
    <t>Лучшие учреждения культуры</t>
  </si>
  <si>
    <t>08 6 00 00000</t>
  </si>
  <si>
    <t>Обеспечение реализации муниципальных программ</t>
  </si>
  <si>
    <t>77 7 06 5549F</t>
  </si>
  <si>
    <t>04 3 02 00000</t>
  </si>
  <si>
    <t>04 1 01 72310</t>
  </si>
  <si>
    <t>Субвенции на возмещение части затрат сельскохозяйственных товаропроизводителей на 1 кг реализованного молока за счет областного бюджета</t>
  </si>
  <si>
    <t>Субвенции на возмещение части затрат сельскохозяйственных товаропроизводителей на 1 кг реализованного молока за счет федерального бюджета</t>
  </si>
  <si>
    <t xml:space="preserve">расходы на проведение капитального ремонта муниципальных жилых помещений жилого фонда и нежилых помещений муниципальной формы собственности </t>
  </si>
  <si>
    <t>МП «Управление муниципальным имуществом городского округа город Шахунья Нижегородской области»</t>
  </si>
  <si>
    <t>Субсидии на организацию бесплатного горячего питания обучающихся, получающих начальное общее образование</t>
  </si>
  <si>
    <t>01 1 02 S2490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</si>
  <si>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образованиях организациях Нижегородской области</t>
  </si>
  <si>
    <t>01 1 D274850</t>
  </si>
  <si>
    <t>01 1 E174590</t>
  </si>
  <si>
    <t>на обеспечение развития информационно-телекоммуникационной инфраструктуры объектов общеобразовательных организаций</t>
  </si>
  <si>
    <t>Иные межбюджетные трансферты на финансирование обеспечение деятельности центров образования цифрового и гуманитарного профилей "Точка роста"</t>
  </si>
  <si>
    <t>Субсидии бюджетным учреждениям по допучреждениям</t>
  </si>
  <si>
    <t>к решению Совета депутатов</t>
  </si>
  <si>
    <t xml:space="preserve">     №      от ___________2021 г.</t>
  </si>
  <si>
    <t xml:space="preserve">Ведомственная структура расходов бюджета городского округа город Шахунья Нижегородской области
на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</si>
</sst>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51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4"/>
  <sheetViews>
    <sheetView tabSelected="1" view="pageBreakPreview" topLeftCell="A433" zoomScale="60" zoomScaleNormal="100" workbookViewId="0">
      <selection activeCell="D436" sqref="D436"/>
    </sheetView>
  </sheetViews>
  <sheetFormatPr defaultRowHeight="15.6" x14ac:dyDescent="0.3"/>
  <cols>
    <col min="1" max="1" width="33.5546875" style="1" customWidth="1"/>
    <col min="2" max="2" width="9.109375" style="2" customWidth="1"/>
    <col min="3" max="3" width="10.33203125" style="6" customWidth="1"/>
    <col min="4" max="4" width="11.33203125" style="6" customWidth="1"/>
    <col min="5" max="5" width="16.21875" style="6" customWidth="1"/>
    <col min="6" max="6" width="9.109375" style="7"/>
    <col min="7" max="7" width="12.21875" style="1" customWidth="1"/>
    <col min="8" max="8" width="15.44140625" style="1" customWidth="1"/>
    <col min="9" max="16384" width="8.88671875" style="1"/>
  </cols>
  <sheetData>
    <row r="1" spans="1:8" x14ac:dyDescent="0.3">
      <c r="A1" s="1" t="s">
        <v>454</v>
      </c>
      <c r="C1" s="3"/>
      <c r="D1" s="3"/>
      <c r="E1" s="3"/>
      <c r="F1" s="4" t="s">
        <v>455</v>
      </c>
      <c r="G1" s="4"/>
      <c r="H1" s="4"/>
    </row>
    <row r="2" spans="1:8" x14ac:dyDescent="0.3">
      <c r="C2" s="3"/>
      <c r="D2" s="3"/>
      <c r="E2" s="3"/>
      <c r="F2" s="4" t="s">
        <v>590</v>
      </c>
      <c r="G2" s="4"/>
      <c r="H2" s="4"/>
    </row>
    <row r="3" spans="1:8" x14ac:dyDescent="0.3">
      <c r="C3" s="3"/>
      <c r="D3" s="3"/>
      <c r="E3" s="3"/>
      <c r="F3" s="5" t="s">
        <v>456</v>
      </c>
      <c r="G3" s="5"/>
      <c r="H3" s="5"/>
    </row>
    <row r="4" spans="1:8" x14ac:dyDescent="0.3">
      <c r="C4" s="3"/>
      <c r="D4" s="3"/>
      <c r="E4" s="3"/>
      <c r="F4" s="4" t="s">
        <v>591</v>
      </c>
      <c r="G4" s="4"/>
      <c r="H4" s="4"/>
    </row>
    <row r="6" spans="1:8" x14ac:dyDescent="0.3">
      <c r="A6" s="8" t="s">
        <v>592</v>
      </c>
      <c r="B6" s="9"/>
      <c r="C6" s="9"/>
      <c r="D6" s="9"/>
      <c r="E6" s="9"/>
      <c r="F6" s="9"/>
      <c r="G6" s="9"/>
      <c r="H6" s="9"/>
    </row>
    <row r="7" spans="1:8" x14ac:dyDescent="0.3">
      <c r="A7" s="10" t="s">
        <v>457</v>
      </c>
      <c r="B7" s="10"/>
      <c r="C7" s="10"/>
      <c r="D7" s="10"/>
      <c r="E7" s="10"/>
      <c r="F7" s="10"/>
      <c r="G7" s="10"/>
      <c r="H7" s="10"/>
    </row>
    <row r="8" spans="1:8" ht="31.2" x14ac:dyDescent="0.3">
      <c r="A8" s="11" t="s">
        <v>0</v>
      </c>
      <c r="B8" s="12" t="s">
        <v>1</v>
      </c>
      <c r="C8" s="11" t="s">
        <v>2</v>
      </c>
      <c r="D8" s="11"/>
      <c r="E8" s="11"/>
      <c r="F8" s="11"/>
      <c r="G8" s="13" t="s">
        <v>444</v>
      </c>
      <c r="H8" s="13" t="s">
        <v>448</v>
      </c>
    </row>
    <row r="9" spans="1:8" ht="31.2" x14ac:dyDescent="0.3">
      <c r="A9" s="11"/>
      <c r="B9" s="12"/>
      <c r="C9" s="13" t="s">
        <v>3</v>
      </c>
      <c r="D9" s="13" t="s">
        <v>4</v>
      </c>
      <c r="E9" s="14" t="s">
        <v>5</v>
      </c>
      <c r="F9" s="15" t="s">
        <v>6</v>
      </c>
      <c r="G9" s="16"/>
      <c r="H9" s="16"/>
    </row>
    <row r="10" spans="1:8" ht="31.2" x14ac:dyDescent="0.3">
      <c r="A10" s="17" t="s">
        <v>7</v>
      </c>
      <c r="B10" s="18">
        <v>487</v>
      </c>
      <c r="C10" s="19"/>
      <c r="D10" s="19"/>
      <c r="E10" s="19"/>
      <c r="F10" s="20"/>
      <c r="G10" s="21">
        <f>G11+G80+G97+G141+G195+G185+G218+G222+G249+G256+G266</f>
        <v>601232.65345999994</v>
      </c>
      <c r="H10" s="21">
        <f>H11+H80+H97+H141+H195+H185+H218+H222+H249+H256+H266</f>
        <v>584163.56823999994</v>
      </c>
    </row>
    <row r="11" spans="1:8" ht="31.2" x14ac:dyDescent="0.3">
      <c r="A11" s="17" t="s">
        <v>8</v>
      </c>
      <c r="B11" s="18"/>
      <c r="C11" s="20" t="s">
        <v>391</v>
      </c>
      <c r="D11" s="19"/>
      <c r="E11" s="19"/>
      <c r="F11" s="20"/>
      <c r="G11" s="21">
        <f>G12+G16+G33+G36+G39+G42</f>
        <v>55225.43924</v>
      </c>
      <c r="H11" s="21">
        <f>H12+H16+H33+H36+H39+H42</f>
        <v>52097.837000000007</v>
      </c>
    </row>
    <row r="12" spans="1:8" ht="31.2" x14ac:dyDescent="0.3">
      <c r="A12" s="17" t="s">
        <v>10</v>
      </c>
      <c r="B12" s="18"/>
      <c r="C12" s="20" t="s">
        <v>391</v>
      </c>
      <c r="D12" s="20" t="s">
        <v>427</v>
      </c>
      <c r="E12" s="19" t="s">
        <v>9</v>
      </c>
      <c r="F12" s="20" t="s">
        <v>529</v>
      </c>
      <c r="G12" s="21">
        <f t="shared" ref="G12:H14" si="0">G13</f>
        <v>1703.34916</v>
      </c>
      <c r="H12" s="21">
        <f t="shared" si="0"/>
        <v>1703.34916</v>
      </c>
    </row>
    <row r="13" spans="1:8" ht="31.2" x14ac:dyDescent="0.3">
      <c r="A13" s="17" t="s">
        <v>10</v>
      </c>
      <c r="B13" s="18"/>
      <c r="C13" s="20" t="s">
        <v>391</v>
      </c>
      <c r="D13" s="20" t="s">
        <v>427</v>
      </c>
      <c r="E13" s="19" t="s">
        <v>539</v>
      </c>
      <c r="F13" s="20" t="s">
        <v>529</v>
      </c>
      <c r="G13" s="21">
        <f t="shared" si="0"/>
        <v>1703.34916</v>
      </c>
      <c r="H13" s="21">
        <f t="shared" si="0"/>
        <v>1703.34916</v>
      </c>
    </row>
    <row r="14" spans="1:8" ht="46.8" x14ac:dyDescent="0.3">
      <c r="A14" s="17" t="s">
        <v>11</v>
      </c>
      <c r="B14" s="18"/>
      <c r="C14" s="20" t="s">
        <v>391</v>
      </c>
      <c r="D14" s="20" t="s">
        <v>427</v>
      </c>
      <c r="E14" s="19" t="s">
        <v>458</v>
      </c>
      <c r="F14" s="20" t="s">
        <v>529</v>
      </c>
      <c r="G14" s="21">
        <f t="shared" si="0"/>
        <v>1703.34916</v>
      </c>
      <c r="H14" s="21">
        <f t="shared" si="0"/>
        <v>1703.34916</v>
      </c>
    </row>
    <row r="15" spans="1:8" ht="62.4" x14ac:dyDescent="0.3">
      <c r="A15" s="22" t="s">
        <v>12</v>
      </c>
      <c r="B15" s="23"/>
      <c r="C15" s="24" t="s">
        <v>391</v>
      </c>
      <c r="D15" s="24" t="s">
        <v>427</v>
      </c>
      <c r="E15" s="25" t="s">
        <v>458</v>
      </c>
      <c r="F15" s="24">
        <v>100</v>
      </c>
      <c r="G15" s="26">
        <v>1703.34916</v>
      </c>
      <c r="H15" s="26">
        <v>1703.34916</v>
      </c>
    </row>
    <row r="16" spans="1:8" ht="46.8" x14ac:dyDescent="0.3">
      <c r="A16" s="22" t="s">
        <v>13</v>
      </c>
      <c r="B16" s="23"/>
      <c r="C16" s="24" t="s">
        <v>391</v>
      </c>
      <c r="D16" s="24" t="s">
        <v>422</v>
      </c>
      <c r="E16" s="25" t="s">
        <v>9</v>
      </c>
      <c r="F16" s="24" t="s">
        <v>529</v>
      </c>
      <c r="G16" s="26">
        <f>G17+G22+G24</f>
        <v>31241.065000000002</v>
      </c>
      <c r="H16" s="26">
        <f>H17+H22+H24</f>
        <v>30815.387360000004</v>
      </c>
    </row>
    <row r="17" spans="1:8" ht="46.8" x14ac:dyDescent="0.3">
      <c r="A17" s="22" t="s">
        <v>13</v>
      </c>
      <c r="B17" s="23"/>
      <c r="C17" s="24" t="s">
        <v>391</v>
      </c>
      <c r="D17" s="24" t="s">
        <v>422</v>
      </c>
      <c r="E17" s="25" t="s">
        <v>14</v>
      </c>
      <c r="F17" s="24" t="s">
        <v>529</v>
      </c>
      <c r="G17" s="26">
        <f>G18</f>
        <v>29575.487160000001</v>
      </c>
      <c r="H17" s="26">
        <f>H18</f>
        <v>29149.809520000003</v>
      </c>
    </row>
    <row r="18" spans="1:8" ht="46.8" x14ac:dyDescent="0.3">
      <c r="A18" s="22" t="s">
        <v>15</v>
      </c>
      <c r="B18" s="23"/>
      <c r="C18" s="24" t="s">
        <v>391</v>
      </c>
      <c r="D18" s="24" t="s">
        <v>422</v>
      </c>
      <c r="E18" s="25" t="s">
        <v>17</v>
      </c>
      <c r="F18" s="24" t="s">
        <v>529</v>
      </c>
      <c r="G18" s="26">
        <f>G19+G20+G21</f>
        <v>29575.487160000001</v>
      </c>
      <c r="H18" s="26">
        <f>H19+H20+H21</f>
        <v>29149.809520000003</v>
      </c>
    </row>
    <row r="19" spans="1:8" ht="124.8" x14ac:dyDescent="0.3">
      <c r="A19" s="22" t="s">
        <v>16</v>
      </c>
      <c r="B19" s="23"/>
      <c r="C19" s="24" t="s">
        <v>391</v>
      </c>
      <c r="D19" s="24" t="s">
        <v>422</v>
      </c>
      <c r="E19" s="25" t="s">
        <v>17</v>
      </c>
      <c r="F19" s="24">
        <v>100</v>
      </c>
      <c r="G19" s="26">
        <f>20627.3665+99.5312+6329.92716</f>
        <v>27056.824860000001</v>
      </c>
      <c r="H19" s="26">
        <f>20418.2765+87.15548+6269.04716</f>
        <v>26774.479140000003</v>
      </c>
    </row>
    <row r="20" spans="1:8" ht="31.2" x14ac:dyDescent="0.3">
      <c r="A20" s="22" t="s">
        <v>18</v>
      </c>
      <c r="B20" s="23"/>
      <c r="C20" s="24" t="s">
        <v>391</v>
      </c>
      <c r="D20" s="24" t="s">
        <v>422</v>
      </c>
      <c r="E20" s="25" t="s">
        <v>17</v>
      </c>
      <c r="F20" s="24">
        <v>200</v>
      </c>
      <c r="G20" s="26">
        <f>1351.37+1158.2923</f>
        <v>2509.6623</v>
      </c>
      <c r="H20" s="26">
        <f>1086.95333+1288.37705</f>
        <v>2375.3303800000003</v>
      </c>
    </row>
    <row r="21" spans="1:8" x14ac:dyDescent="0.3">
      <c r="A21" s="22" t="s">
        <v>19</v>
      </c>
      <c r="B21" s="23"/>
      <c r="C21" s="24" t="s">
        <v>391</v>
      </c>
      <c r="D21" s="24" t="s">
        <v>422</v>
      </c>
      <c r="E21" s="25" t="s">
        <v>17</v>
      </c>
      <c r="F21" s="24">
        <v>800</v>
      </c>
      <c r="G21" s="26">
        <v>9</v>
      </c>
      <c r="H21" s="26">
        <v>0</v>
      </c>
    </row>
    <row r="22" spans="1:8" ht="78" x14ac:dyDescent="0.3">
      <c r="A22" s="17" t="s">
        <v>433</v>
      </c>
      <c r="B22" s="18"/>
      <c r="C22" s="20" t="s">
        <v>391</v>
      </c>
      <c r="D22" s="20" t="s">
        <v>422</v>
      </c>
      <c r="E22" s="19" t="s">
        <v>459</v>
      </c>
      <c r="F22" s="20" t="s">
        <v>529</v>
      </c>
      <c r="G22" s="21">
        <f>G23</f>
        <v>60.607700000000001</v>
      </c>
      <c r="H22" s="21">
        <f>H23</f>
        <v>60.607700000000001</v>
      </c>
    </row>
    <row r="23" spans="1:8" ht="31.2" x14ac:dyDescent="0.3">
      <c r="A23" s="22" t="s">
        <v>18</v>
      </c>
      <c r="B23" s="23"/>
      <c r="C23" s="24" t="s">
        <v>391</v>
      </c>
      <c r="D23" s="24" t="s">
        <v>422</v>
      </c>
      <c r="E23" s="25" t="s">
        <v>459</v>
      </c>
      <c r="F23" s="24">
        <v>200</v>
      </c>
      <c r="G23" s="26">
        <v>60.607700000000001</v>
      </c>
      <c r="H23" s="26">
        <v>60.607700000000001</v>
      </c>
    </row>
    <row r="24" spans="1:8" ht="31.2" x14ac:dyDescent="0.3">
      <c r="A24" s="17" t="s">
        <v>530</v>
      </c>
      <c r="B24" s="18"/>
      <c r="C24" s="20" t="s">
        <v>391</v>
      </c>
      <c r="D24" s="20" t="s">
        <v>422</v>
      </c>
      <c r="E24" s="19" t="s">
        <v>485</v>
      </c>
      <c r="F24" s="20" t="s">
        <v>529</v>
      </c>
      <c r="G24" s="21">
        <f>G25+G28+G31</f>
        <v>1604.9701400000001</v>
      </c>
      <c r="H24" s="21">
        <f>H25+H28+H31</f>
        <v>1604.9701400000001</v>
      </c>
    </row>
    <row r="25" spans="1:8" ht="109.2" x14ac:dyDescent="0.3">
      <c r="A25" s="22" t="s">
        <v>20</v>
      </c>
      <c r="B25" s="23"/>
      <c r="C25" s="24" t="s">
        <v>391</v>
      </c>
      <c r="D25" s="24" t="s">
        <v>422</v>
      </c>
      <c r="E25" s="25" t="s">
        <v>460</v>
      </c>
      <c r="F25" s="24" t="s">
        <v>529</v>
      </c>
      <c r="G25" s="26">
        <f>G26+G27</f>
        <v>473.5</v>
      </c>
      <c r="H25" s="26">
        <f>H26+H27</f>
        <v>473.5</v>
      </c>
    </row>
    <row r="26" spans="1:8" ht="62.4" x14ac:dyDescent="0.3">
      <c r="A26" s="22" t="s">
        <v>12</v>
      </c>
      <c r="B26" s="23"/>
      <c r="C26" s="24" t="s">
        <v>391</v>
      </c>
      <c r="D26" s="24" t="s">
        <v>422</v>
      </c>
      <c r="E26" s="25" t="s">
        <v>460</v>
      </c>
      <c r="F26" s="24">
        <v>100</v>
      </c>
      <c r="G26" s="26">
        <f>359.85407+108.67593</f>
        <v>468.53</v>
      </c>
      <c r="H26" s="26">
        <f>359.85407+108.67593</f>
        <v>468.53</v>
      </c>
    </row>
    <row r="27" spans="1:8" ht="31.2" x14ac:dyDescent="0.3">
      <c r="A27" s="22" t="s">
        <v>18</v>
      </c>
      <c r="B27" s="23"/>
      <c r="C27" s="24" t="s">
        <v>391</v>
      </c>
      <c r="D27" s="24" t="s">
        <v>422</v>
      </c>
      <c r="E27" s="25" t="s">
        <v>460</v>
      </c>
      <c r="F27" s="24">
        <v>200</v>
      </c>
      <c r="G27" s="26">
        <v>4.97</v>
      </c>
      <c r="H27" s="26">
        <v>4.97</v>
      </c>
    </row>
    <row r="28" spans="1:8" ht="93.6" x14ac:dyDescent="0.3">
      <c r="A28" s="22" t="s">
        <v>21</v>
      </c>
      <c r="B28" s="23"/>
      <c r="C28" s="24" t="s">
        <v>391</v>
      </c>
      <c r="D28" s="24" t="s">
        <v>422</v>
      </c>
      <c r="E28" s="25" t="s">
        <v>461</v>
      </c>
      <c r="F28" s="24">
        <v>0</v>
      </c>
      <c r="G28" s="26">
        <f>G29+G30</f>
        <v>397.90000000000003</v>
      </c>
      <c r="H28" s="26">
        <f>H29+H30</f>
        <v>397.90000000000003</v>
      </c>
    </row>
    <row r="29" spans="1:8" ht="62.4" x14ac:dyDescent="0.3">
      <c r="A29" s="22" t="s">
        <v>12</v>
      </c>
      <c r="B29" s="23"/>
      <c r="C29" s="24" t="s">
        <v>391</v>
      </c>
      <c r="D29" s="24" t="s">
        <v>422</v>
      </c>
      <c r="E29" s="25" t="s">
        <v>461</v>
      </c>
      <c r="F29" s="24">
        <v>100</v>
      </c>
      <c r="G29" s="26">
        <f>295.09683+88.88317</f>
        <v>383.98</v>
      </c>
      <c r="H29" s="26">
        <f>295.09683+88.88317</f>
        <v>383.98</v>
      </c>
    </row>
    <row r="30" spans="1:8" ht="31.2" x14ac:dyDescent="0.3">
      <c r="A30" s="22" t="s">
        <v>18</v>
      </c>
      <c r="B30" s="23"/>
      <c r="C30" s="24" t="s">
        <v>391</v>
      </c>
      <c r="D30" s="24" t="s">
        <v>422</v>
      </c>
      <c r="E30" s="25" t="s">
        <v>461</v>
      </c>
      <c r="F30" s="24">
        <v>200</v>
      </c>
      <c r="G30" s="26">
        <f>13.92</f>
        <v>13.92</v>
      </c>
      <c r="H30" s="26">
        <v>13.92</v>
      </c>
    </row>
    <row r="31" spans="1:8" ht="62.4" x14ac:dyDescent="0.3">
      <c r="A31" s="22" t="s">
        <v>449</v>
      </c>
      <c r="B31" s="23"/>
      <c r="C31" s="24" t="s">
        <v>391</v>
      </c>
      <c r="D31" s="24" t="s">
        <v>422</v>
      </c>
      <c r="E31" s="25" t="s">
        <v>450</v>
      </c>
      <c r="F31" s="24" t="s">
        <v>529</v>
      </c>
      <c r="G31" s="26">
        <f>G32</f>
        <v>733.57014000000004</v>
      </c>
      <c r="H31" s="26">
        <f>H32</f>
        <v>733.57014000000004</v>
      </c>
    </row>
    <row r="32" spans="1:8" ht="62.4" x14ac:dyDescent="0.3">
      <c r="A32" s="22" t="s">
        <v>449</v>
      </c>
      <c r="B32" s="23"/>
      <c r="C32" s="24" t="s">
        <v>391</v>
      </c>
      <c r="D32" s="24" t="s">
        <v>422</v>
      </c>
      <c r="E32" s="25" t="s">
        <v>450</v>
      </c>
      <c r="F32" s="24" t="s">
        <v>451</v>
      </c>
      <c r="G32" s="26">
        <v>733.57014000000004</v>
      </c>
      <c r="H32" s="26">
        <v>733.57014000000004</v>
      </c>
    </row>
    <row r="33" spans="1:8" x14ac:dyDescent="0.3">
      <c r="A33" s="17" t="s">
        <v>22</v>
      </c>
      <c r="B33" s="18"/>
      <c r="C33" s="20" t="s">
        <v>391</v>
      </c>
      <c r="D33" s="20" t="s">
        <v>423</v>
      </c>
      <c r="E33" s="19" t="s">
        <v>535</v>
      </c>
      <c r="F33" s="20" t="s">
        <v>529</v>
      </c>
      <c r="G33" s="21">
        <f>G34</f>
        <v>27.4</v>
      </c>
      <c r="H33" s="21">
        <f>H34</f>
        <v>27.4</v>
      </c>
    </row>
    <row r="34" spans="1:8" ht="171.6" x14ac:dyDescent="0.3">
      <c r="A34" s="22" t="s">
        <v>24</v>
      </c>
      <c r="B34" s="23"/>
      <c r="C34" s="24" t="s">
        <v>391</v>
      </c>
      <c r="D34" s="24" t="s">
        <v>423</v>
      </c>
      <c r="E34" s="25" t="s">
        <v>462</v>
      </c>
      <c r="F34" s="24" t="s">
        <v>529</v>
      </c>
      <c r="G34" s="26">
        <f>G35</f>
        <v>27.4</v>
      </c>
      <c r="H34" s="26">
        <f>H35</f>
        <v>27.4</v>
      </c>
    </row>
    <row r="35" spans="1:8" ht="31.2" x14ac:dyDescent="0.3">
      <c r="A35" s="22" t="s">
        <v>18</v>
      </c>
      <c r="B35" s="23"/>
      <c r="C35" s="24" t="s">
        <v>391</v>
      </c>
      <c r="D35" s="24" t="s">
        <v>423</v>
      </c>
      <c r="E35" s="25" t="s">
        <v>462</v>
      </c>
      <c r="F35" s="24">
        <v>200</v>
      </c>
      <c r="G35" s="26">
        <v>27.4</v>
      </c>
      <c r="H35" s="26">
        <v>27.4</v>
      </c>
    </row>
    <row r="36" spans="1:8" ht="31.2" x14ac:dyDescent="0.3">
      <c r="A36" s="17" t="s">
        <v>532</v>
      </c>
      <c r="B36" s="18"/>
      <c r="C36" s="20" t="s">
        <v>391</v>
      </c>
      <c r="D36" s="20" t="s">
        <v>425</v>
      </c>
      <c r="E36" s="19" t="s">
        <v>534</v>
      </c>
      <c r="F36" s="20" t="s">
        <v>529</v>
      </c>
      <c r="G36" s="21">
        <f>G37</f>
        <v>550.572</v>
      </c>
      <c r="H36" s="21">
        <f>H37</f>
        <v>550.572</v>
      </c>
    </row>
    <row r="37" spans="1:8" x14ac:dyDescent="0.3">
      <c r="A37" s="22" t="s">
        <v>531</v>
      </c>
      <c r="B37" s="23"/>
      <c r="C37" s="24" t="s">
        <v>391</v>
      </c>
      <c r="D37" s="24" t="s">
        <v>425</v>
      </c>
      <c r="E37" s="25" t="s">
        <v>533</v>
      </c>
      <c r="F37" s="24" t="s">
        <v>529</v>
      </c>
      <c r="G37" s="26">
        <f>G38</f>
        <v>550.572</v>
      </c>
      <c r="H37" s="26">
        <f>H38</f>
        <v>550.572</v>
      </c>
    </row>
    <row r="38" spans="1:8" x14ac:dyDescent="0.3">
      <c r="A38" s="22" t="s">
        <v>531</v>
      </c>
      <c r="B38" s="23"/>
      <c r="C38" s="24" t="s">
        <v>391</v>
      </c>
      <c r="D38" s="24" t="s">
        <v>425</v>
      </c>
      <c r="E38" s="25" t="s">
        <v>533</v>
      </c>
      <c r="F38" s="24" t="s">
        <v>401</v>
      </c>
      <c r="G38" s="26">
        <v>550.572</v>
      </c>
      <c r="H38" s="26">
        <v>550.572</v>
      </c>
    </row>
    <row r="39" spans="1:8" x14ac:dyDescent="0.3">
      <c r="A39" s="17" t="s">
        <v>25</v>
      </c>
      <c r="B39" s="18"/>
      <c r="C39" s="20" t="s">
        <v>391</v>
      </c>
      <c r="D39" s="20">
        <v>11</v>
      </c>
      <c r="E39" s="19" t="s">
        <v>26</v>
      </c>
      <c r="F39" s="20" t="s">
        <v>529</v>
      </c>
      <c r="G39" s="21">
        <f>G40</f>
        <v>0</v>
      </c>
      <c r="H39" s="21">
        <f>H40</f>
        <v>0</v>
      </c>
    </row>
    <row r="40" spans="1:8" ht="78" x14ac:dyDescent="0.3">
      <c r="A40" s="22" t="s">
        <v>27</v>
      </c>
      <c r="B40" s="23"/>
      <c r="C40" s="24" t="s">
        <v>391</v>
      </c>
      <c r="D40" s="24">
        <v>11</v>
      </c>
      <c r="E40" s="25" t="s">
        <v>28</v>
      </c>
      <c r="F40" s="24">
        <v>0</v>
      </c>
      <c r="G40" s="26">
        <f>G41</f>
        <v>0</v>
      </c>
      <c r="H40" s="26">
        <f>H41</f>
        <v>0</v>
      </c>
    </row>
    <row r="41" spans="1:8" ht="46.8" x14ac:dyDescent="0.3">
      <c r="A41" s="22" t="s">
        <v>29</v>
      </c>
      <c r="B41" s="23"/>
      <c r="C41" s="24" t="s">
        <v>391</v>
      </c>
      <c r="D41" s="24">
        <v>11</v>
      </c>
      <c r="E41" s="25" t="s">
        <v>28</v>
      </c>
      <c r="F41" s="24">
        <v>800</v>
      </c>
      <c r="G41" s="26">
        <v>0</v>
      </c>
      <c r="H41" s="26">
        <v>0</v>
      </c>
    </row>
    <row r="42" spans="1:8" ht="31.2" x14ac:dyDescent="0.3">
      <c r="A42" s="17" t="s">
        <v>30</v>
      </c>
      <c r="B42" s="18"/>
      <c r="C42" s="20" t="s">
        <v>391</v>
      </c>
      <c r="D42" s="20">
        <v>13</v>
      </c>
      <c r="E42" s="19" t="s">
        <v>9</v>
      </c>
      <c r="F42" s="20" t="s">
        <v>529</v>
      </c>
      <c r="G42" s="21">
        <f>G43+G48+G51+G56+G59+G62</f>
        <v>21703.053079999998</v>
      </c>
      <c r="H42" s="21">
        <f>H43+H48+H51+H56+H59+H62</f>
        <v>19001.128479999999</v>
      </c>
    </row>
    <row r="43" spans="1:8" ht="62.4" x14ac:dyDescent="0.3">
      <c r="A43" s="17" t="s">
        <v>562</v>
      </c>
      <c r="B43" s="18"/>
      <c r="C43" s="20" t="s">
        <v>391</v>
      </c>
      <c r="D43" s="20" t="s">
        <v>393</v>
      </c>
      <c r="E43" s="19" t="s">
        <v>145</v>
      </c>
      <c r="F43" s="20" t="s">
        <v>529</v>
      </c>
      <c r="G43" s="21">
        <f>G44+G46</f>
        <v>160.94999999999999</v>
      </c>
      <c r="H43" s="21">
        <f>H44+H46</f>
        <v>155.44999999999999</v>
      </c>
    </row>
    <row r="44" spans="1:8" ht="78" x14ac:dyDescent="0.3">
      <c r="A44" s="22" t="s">
        <v>32</v>
      </c>
      <c r="B44" s="23"/>
      <c r="C44" s="24" t="s">
        <v>391</v>
      </c>
      <c r="D44" s="24">
        <v>13</v>
      </c>
      <c r="E44" s="25" t="s">
        <v>31</v>
      </c>
      <c r="F44" s="24" t="s">
        <v>529</v>
      </c>
      <c r="G44" s="26">
        <f>G45</f>
        <v>89.75</v>
      </c>
      <c r="H44" s="26">
        <f>H45</f>
        <v>89.75</v>
      </c>
    </row>
    <row r="45" spans="1:8" ht="31.2" x14ac:dyDescent="0.3">
      <c r="A45" s="22" t="s">
        <v>18</v>
      </c>
      <c r="B45" s="23"/>
      <c r="C45" s="24" t="s">
        <v>391</v>
      </c>
      <c r="D45" s="24">
        <v>13</v>
      </c>
      <c r="E45" s="25" t="s">
        <v>31</v>
      </c>
      <c r="F45" s="24">
        <v>200</v>
      </c>
      <c r="G45" s="26">
        <v>89.75</v>
      </c>
      <c r="H45" s="26">
        <v>89.75</v>
      </c>
    </row>
    <row r="46" spans="1:8" ht="78" x14ac:dyDescent="0.3">
      <c r="A46" s="22" t="s">
        <v>33</v>
      </c>
      <c r="B46" s="23"/>
      <c r="C46" s="24" t="s">
        <v>391</v>
      </c>
      <c r="D46" s="24">
        <v>13</v>
      </c>
      <c r="E46" s="25" t="s">
        <v>396</v>
      </c>
      <c r="F46" s="24" t="s">
        <v>529</v>
      </c>
      <c r="G46" s="26">
        <f>G47</f>
        <v>71.2</v>
      </c>
      <c r="H46" s="26">
        <f>H47</f>
        <v>65.7</v>
      </c>
    </row>
    <row r="47" spans="1:8" ht="31.2" x14ac:dyDescent="0.3">
      <c r="A47" s="22" t="s">
        <v>18</v>
      </c>
      <c r="B47" s="23"/>
      <c r="C47" s="24" t="s">
        <v>391</v>
      </c>
      <c r="D47" s="24">
        <v>13</v>
      </c>
      <c r="E47" s="25" t="s">
        <v>396</v>
      </c>
      <c r="F47" s="24">
        <v>200</v>
      </c>
      <c r="G47" s="26">
        <v>71.2</v>
      </c>
      <c r="H47" s="26">
        <v>65.7</v>
      </c>
    </row>
    <row r="48" spans="1:8" ht="93.6" x14ac:dyDescent="0.3">
      <c r="A48" s="17" t="s">
        <v>536</v>
      </c>
      <c r="B48" s="18"/>
      <c r="C48" s="20" t="s">
        <v>391</v>
      </c>
      <c r="D48" s="20">
        <v>13</v>
      </c>
      <c r="E48" s="19" t="s">
        <v>34</v>
      </c>
      <c r="F48" s="20" t="s">
        <v>529</v>
      </c>
      <c r="G48" s="21">
        <f>G49+G50</f>
        <v>200</v>
      </c>
      <c r="H48" s="21">
        <f>H49+H50</f>
        <v>200</v>
      </c>
    </row>
    <row r="49" spans="1:8" ht="31.2" x14ac:dyDescent="0.3">
      <c r="A49" s="22" t="s">
        <v>18</v>
      </c>
      <c r="B49" s="23"/>
      <c r="C49" s="24" t="s">
        <v>391</v>
      </c>
      <c r="D49" s="24">
        <v>13</v>
      </c>
      <c r="E49" s="25" t="s">
        <v>35</v>
      </c>
      <c r="F49" s="24">
        <v>200</v>
      </c>
      <c r="G49" s="26">
        <v>200</v>
      </c>
      <c r="H49" s="26">
        <v>200</v>
      </c>
    </row>
    <row r="50" spans="1:8" ht="31.2" x14ac:dyDescent="0.3">
      <c r="A50" s="22" t="s">
        <v>18</v>
      </c>
      <c r="B50" s="23"/>
      <c r="C50" s="24" t="s">
        <v>391</v>
      </c>
      <c r="D50" s="24">
        <v>13</v>
      </c>
      <c r="E50" s="25" t="s">
        <v>36</v>
      </c>
      <c r="F50" s="24">
        <v>200</v>
      </c>
      <c r="G50" s="26">
        <v>0</v>
      </c>
      <c r="H50" s="26">
        <v>0</v>
      </c>
    </row>
    <row r="51" spans="1:8" ht="124.8" x14ac:dyDescent="0.3">
      <c r="A51" s="17" t="s">
        <v>453</v>
      </c>
      <c r="B51" s="18"/>
      <c r="C51" s="20" t="s">
        <v>391</v>
      </c>
      <c r="D51" s="20">
        <v>13</v>
      </c>
      <c r="E51" s="19" t="s">
        <v>37</v>
      </c>
      <c r="F51" s="20" t="s">
        <v>529</v>
      </c>
      <c r="G51" s="21">
        <f>G52+G54</f>
        <v>16.850000000000001</v>
      </c>
      <c r="H51" s="21">
        <f>H52+H54</f>
        <v>16.850000000000001</v>
      </c>
    </row>
    <row r="52" spans="1:8" ht="93.6" x14ac:dyDescent="0.3">
      <c r="A52" s="22" t="s">
        <v>38</v>
      </c>
      <c r="B52" s="23"/>
      <c r="C52" s="24" t="s">
        <v>391</v>
      </c>
      <c r="D52" s="24">
        <v>13</v>
      </c>
      <c r="E52" s="25" t="s">
        <v>39</v>
      </c>
      <c r="F52" s="24" t="s">
        <v>529</v>
      </c>
      <c r="G52" s="26">
        <f>G53</f>
        <v>0</v>
      </c>
      <c r="H52" s="26">
        <f>H53</f>
        <v>0</v>
      </c>
    </row>
    <row r="53" spans="1:8" ht="31.2" x14ac:dyDescent="0.3">
      <c r="A53" s="22" t="s">
        <v>18</v>
      </c>
      <c r="B53" s="23"/>
      <c r="C53" s="24" t="s">
        <v>391</v>
      </c>
      <c r="D53" s="24">
        <v>13</v>
      </c>
      <c r="E53" s="25" t="s">
        <v>39</v>
      </c>
      <c r="F53" s="24">
        <v>200</v>
      </c>
      <c r="G53" s="26">
        <v>0</v>
      </c>
      <c r="H53" s="26">
        <v>0</v>
      </c>
    </row>
    <row r="54" spans="1:8" ht="109.2" x14ac:dyDescent="0.3">
      <c r="A54" s="22" t="s">
        <v>40</v>
      </c>
      <c r="B54" s="23"/>
      <c r="C54" s="24" t="s">
        <v>391</v>
      </c>
      <c r="D54" s="24">
        <v>13</v>
      </c>
      <c r="E54" s="25" t="s">
        <v>41</v>
      </c>
      <c r="F54" s="24" t="s">
        <v>529</v>
      </c>
      <c r="G54" s="26">
        <f>G55</f>
        <v>16.850000000000001</v>
      </c>
      <c r="H54" s="26">
        <f>H55</f>
        <v>16.850000000000001</v>
      </c>
    </row>
    <row r="55" spans="1:8" ht="31.2" x14ac:dyDescent="0.3">
      <c r="A55" s="22" t="s">
        <v>18</v>
      </c>
      <c r="B55" s="23"/>
      <c r="C55" s="24" t="s">
        <v>391</v>
      </c>
      <c r="D55" s="24">
        <v>13</v>
      </c>
      <c r="E55" s="25" t="s">
        <v>41</v>
      </c>
      <c r="F55" s="24">
        <v>200</v>
      </c>
      <c r="G55" s="26">
        <v>16.850000000000001</v>
      </c>
      <c r="H55" s="26">
        <v>16.850000000000001</v>
      </c>
    </row>
    <row r="56" spans="1:8" ht="78" x14ac:dyDescent="0.3">
      <c r="A56" s="17" t="s">
        <v>452</v>
      </c>
      <c r="B56" s="18"/>
      <c r="C56" s="20" t="s">
        <v>391</v>
      </c>
      <c r="D56" s="20" t="s">
        <v>393</v>
      </c>
      <c r="E56" s="19" t="s">
        <v>419</v>
      </c>
      <c r="F56" s="20" t="s">
        <v>529</v>
      </c>
      <c r="G56" s="21">
        <f>G57</f>
        <v>2517.5506300000002</v>
      </c>
      <c r="H56" s="21">
        <f>H57</f>
        <v>2517.5506300000002</v>
      </c>
    </row>
    <row r="57" spans="1:8" ht="46.8" x14ac:dyDescent="0.3">
      <c r="A57" s="22" t="s">
        <v>463</v>
      </c>
      <c r="B57" s="23"/>
      <c r="C57" s="24" t="s">
        <v>391</v>
      </c>
      <c r="D57" s="24">
        <v>13</v>
      </c>
      <c r="E57" s="25" t="s">
        <v>43</v>
      </c>
      <c r="F57" s="24" t="s">
        <v>529</v>
      </c>
      <c r="G57" s="26">
        <f>G58</f>
        <v>2517.5506300000002</v>
      </c>
      <c r="H57" s="26">
        <f>H58</f>
        <v>2517.5506300000002</v>
      </c>
    </row>
    <row r="58" spans="1:8" ht="31.2" x14ac:dyDescent="0.3">
      <c r="A58" s="22" t="s">
        <v>18</v>
      </c>
      <c r="B58" s="23"/>
      <c r="C58" s="24" t="s">
        <v>391</v>
      </c>
      <c r="D58" s="24">
        <v>13</v>
      </c>
      <c r="E58" s="25" t="s">
        <v>43</v>
      </c>
      <c r="F58" s="24">
        <v>200</v>
      </c>
      <c r="G58" s="26">
        <v>2517.5506300000002</v>
      </c>
      <c r="H58" s="26">
        <v>2517.5506300000002</v>
      </c>
    </row>
    <row r="59" spans="1:8" ht="78" x14ac:dyDescent="0.3">
      <c r="A59" s="17" t="s">
        <v>27</v>
      </c>
      <c r="B59" s="18"/>
      <c r="C59" s="20" t="s">
        <v>391</v>
      </c>
      <c r="D59" s="20">
        <v>13</v>
      </c>
      <c r="E59" s="19" t="s">
        <v>44</v>
      </c>
      <c r="F59" s="20" t="s">
        <v>529</v>
      </c>
      <c r="G59" s="21">
        <f>G60</f>
        <v>198.25800000000001</v>
      </c>
      <c r="H59" s="21">
        <f>H60</f>
        <v>198.25800000000001</v>
      </c>
    </row>
    <row r="60" spans="1:8" ht="46.8" x14ac:dyDescent="0.3">
      <c r="A60" s="22" t="s">
        <v>45</v>
      </c>
      <c r="B60" s="23"/>
      <c r="C60" s="24" t="s">
        <v>391</v>
      </c>
      <c r="D60" s="24">
        <v>13</v>
      </c>
      <c r="E60" s="25" t="s">
        <v>46</v>
      </c>
      <c r="F60" s="24" t="s">
        <v>529</v>
      </c>
      <c r="G60" s="26">
        <f>G61</f>
        <v>198.25800000000001</v>
      </c>
      <c r="H60" s="26">
        <f>H61</f>
        <v>198.25800000000001</v>
      </c>
    </row>
    <row r="61" spans="1:8" ht="31.2" x14ac:dyDescent="0.3">
      <c r="A61" s="22" t="s">
        <v>18</v>
      </c>
      <c r="B61" s="23"/>
      <c r="C61" s="24" t="s">
        <v>391</v>
      </c>
      <c r="D61" s="24">
        <v>13</v>
      </c>
      <c r="E61" s="25" t="s">
        <v>46</v>
      </c>
      <c r="F61" s="24">
        <v>200</v>
      </c>
      <c r="G61" s="26">
        <v>198.25800000000001</v>
      </c>
      <c r="H61" s="26">
        <v>198.25800000000001</v>
      </c>
    </row>
    <row r="62" spans="1:8" ht="46.8" x14ac:dyDescent="0.3">
      <c r="A62" s="17" t="s">
        <v>47</v>
      </c>
      <c r="B62" s="18"/>
      <c r="C62" s="20" t="s">
        <v>391</v>
      </c>
      <c r="D62" s="20">
        <v>13</v>
      </c>
      <c r="E62" s="19" t="s">
        <v>23</v>
      </c>
      <c r="F62" s="20">
        <v>0</v>
      </c>
      <c r="G62" s="21">
        <f>G63+G68+G73+G75+G78</f>
        <v>18609.444449999999</v>
      </c>
      <c r="H62" s="21">
        <f>H63+H68+H73+H75+H78</f>
        <v>15913.019849999999</v>
      </c>
    </row>
    <row r="63" spans="1:8" ht="31.2" x14ac:dyDescent="0.3">
      <c r="A63" s="22" t="s">
        <v>48</v>
      </c>
      <c r="B63" s="23"/>
      <c r="C63" s="24" t="s">
        <v>391</v>
      </c>
      <c r="D63" s="24">
        <v>13</v>
      </c>
      <c r="E63" s="25" t="s">
        <v>49</v>
      </c>
      <c r="F63" s="24">
        <v>0</v>
      </c>
      <c r="G63" s="26">
        <f>G64+G65+G66+G67</f>
        <v>15763.439179999999</v>
      </c>
      <c r="H63" s="26">
        <f>H64+H65+H66+H67</f>
        <v>13431.420679999999</v>
      </c>
    </row>
    <row r="64" spans="1:8" ht="62.4" x14ac:dyDescent="0.3">
      <c r="A64" s="22" t="s">
        <v>12</v>
      </c>
      <c r="B64" s="23"/>
      <c r="C64" s="24" t="s">
        <v>391</v>
      </c>
      <c r="D64" s="24">
        <v>13</v>
      </c>
      <c r="E64" s="25" t="s">
        <v>50</v>
      </c>
      <c r="F64" s="24">
        <v>100</v>
      </c>
      <c r="G64" s="26">
        <f>3914.19526+2.1+1158.56455</f>
        <v>5074.8598099999999</v>
      </c>
      <c r="H64" s="26">
        <f>3909.871+2.1+1158.56455</f>
        <v>5070.5355500000005</v>
      </c>
    </row>
    <row r="65" spans="1:8" ht="31.2" x14ac:dyDescent="0.3">
      <c r="A65" s="22" t="s">
        <v>18</v>
      </c>
      <c r="B65" s="23"/>
      <c r="C65" s="24" t="s">
        <v>391</v>
      </c>
      <c r="D65" s="24">
        <v>13</v>
      </c>
      <c r="E65" s="25" t="s">
        <v>50</v>
      </c>
      <c r="F65" s="24">
        <v>200</v>
      </c>
      <c r="G65" s="26">
        <f>35.2+9281.04755</f>
        <v>9316.24755</v>
      </c>
      <c r="H65" s="26">
        <f>6964.0715+33.36143</f>
        <v>6997.4329299999999</v>
      </c>
    </row>
    <row r="66" spans="1:8" ht="62.4" x14ac:dyDescent="0.3">
      <c r="A66" s="22" t="s">
        <v>51</v>
      </c>
      <c r="B66" s="23"/>
      <c r="C66" s="24" t="s">
        <v>391</v>
      </c>
      <c r="D66" s="24">
        <v>13</v>
      </c>
      <c r="E66" s="25" t="s">
        <v>50</v>
      </c>
      <c r="F66" s="24">
        <v>600</v>
      </c>
      <c r="G66" s="26">
        <v>1363.3318200000001</v>
      </c>
      <c r="H66" s="26">
        <v>1363.3318200000001</v>
      </c>
    </row>
    <row r="67" spans="1:8" x14ac:dyDescent="0.3">
      <c r="A67" s="22" t="s">
        <v>19</v>
      </c>
      <c r="B67" s="23"/>
      <c r="C67" s="24" t="s">
        <v>391</v>
      </c>
      <c r="D67" s="24">
        <v>13</v>
      </c>
      <c r="E67" s="25" t="s">
        <v>50</v>
      </c>
      <c r="F67" s="24">
        <v>800</v>
      </c>
      <c r="G67" s="26">
        <v>9</v>
      </c>
      <c r="H67" s="26">
        <v>0.12038</v>
      </c>
    </row>
    <row r="68" spans="1:8" ht="46.8" x14ac:dyDescent="0.3">
      <c r="A68" s="22" t="s">
        <v>53</v>
      </c>
      <c r="B68" s="23"/>
      <c r="C68" s="24" t="s">
        <v>391</v>
      </c>
      <c r="D68" s="24" t="s">
        <v>393</v>
      </c>
      <c r="E68" s="25" t="s">
        <v>537</v>
      </c>
      <c r="F68" s="24" t="s">
        <v>529</v>
      </c>
      <c r="G68" s="26">
        <f>G69+G70+G71</f>
        <v>1953.49461</v>
      </c>
      <c r="H68" s="26">
        <f>H69+H70+H71</f>
        <v>1953.49461</v>
      </c>
    </row>
    <row r="69" spans="1:8" ht="31.2" x14ac:dyDescent="0.3">
      <c r="A69" s="22" t="s">
        <v>18</v>
      </c>
      <c r="B69" s="23"/>
      <c r="C69" s="24" t="s">
        <v>391</v>
      </c>
      <c r="D69" s="24">
        <v>13</v>
      </c>
      <c r="E69" s="25" t="s">
        <v>54</v>
      </c>
      <c r="F69" s="24">
        <v>200</v>
      </c>
      <c r="G69" s="26">
        <v>257.73444000000001</v>
      </c>
      <c r="H69" s="26">
        <v>257.73444000000001</v>
      </c>
    </row>
    <row r="70" spans="1:8" x14ac:dyDescent="0.3">
      <c r="A70" s="22" t="s">
        <v>19</v>
      </c>
      <c r="B70" s="23"/>
      <c r="C70" s="24" t="s">
        <v>391</v>
      </c>
      <c r="D70" s="24">
        <v>13</v>
      </c>
      <c r="E70" s="25" t="s">
        <v>54</v>
      </c>
      <c r="F70" s="24">
        <v>800</v>
      </c>
      <c r="G70" s="26">
        <f>1405.73217+77.5+200</f>
        <v>1683.23217</v>
      </c>
      <c r="H70" s="26">
        <f>1405.73217+77.5+200</f>
        <v>1683.23217</v>
      </c>
    </row>
    <row r="71" spans="1:8" ht="46.8" x14ac:dyDescent="0.3">
      <c r="A71" s="22" t="s">
        <v>55</v>
      </c>
      <c r="B71" s="23"/>
      <c r="C71" s="24" t="s">
        <v>391</v>
      </c>
      <c r="D71" s="24">
        <v>13</v>
      </c>
      <c r="E71" s="25" t="s">
        <v>56</v>
      </c>
      <c r="F71" s="24" t="s">
        <v>529</v>
      </c>
      <c r="G71" s="26">
        <f>G72</f>
        <v>12.528</v>
      </c>
      <c r="H71" s="26">
        <f>H72</f>
        <v>12.528</v>
      </c>
    </row>
    <row r="72" spans="1:8" ht="31.2" x14ac:dyDescent="0.3">
      <c r="A72" s="22" t="s">
        <v>18</v>
      </c>
      <c r="B72" s="23"/>
      <c r="C72" s="24" t="s">
        <v>391</v>
      </c>
      <c r="D72" s="24">
        <v>13</v>
      </c>
      <c r="E72" s="25" t="s">
        <v>56</v>
      </c>
      <c r="F72" s="24">
        <v>200</v>
      </c>
      <c r="G72" s="26">
        <v>12.528</v>
      </c>
      <c r="H72" s="26">
        <v>12.528</v>
      </c>
    </row>
    <row r="73" spans="1:8" ht="93.6" x14ac:dyDescent="0.3">
      <c r="A73" s="22" t="s">
        <v>434</v>
      </c>
      <c r="B73" s="23"/>
      <c r="C73" s="24" t="s">
        <v>391</v>
      </c>
      <c r="D73" s="24" t="s">
        <v>393</v>
      </c>
      <c r="E73" s="25" t="s">
        <v>397</v>
      </c>
      <c r="F73" s="24" t="s">
        <v>529</v>
      </c>
      <c r="G73" s="26">
        <f>G74</f>
        <v>364.40609999999998</v>
      </c>
      <c r="H73" s="26">
        <f>H74</f>
        <v>0</v>
      </c>
    </row>
    <row r="74" spans="1:8" ht="31.2" x14ac:dyDescent="0.3">
      <c r="A74" s="22" t="s">
        <v>18</v>
      </c>
      <c r="B74" s="23"/>
      <c r="C74" s="24" t="s">
        <v>391</v>
      </c>
      <c r="D74" s="24" t="s">
        <v>393</v>
      </c>
      <c r="E74" s="25" t="s">
        <v>397</v>
      </c>
      <c r="F74" s="24" t="s">
        <v>394</v>
      </c>
      <c r="G74" s="26">
        <v>364.40609999999998</v>
      </c>
      <c r="H74" s="26">
        <v>0</v>
      </c>
    </row>
    <row r="75" spans="1:8" ht="62.4" x14ac:dyDescent="0.3">
      <c r="A75" s="22" t="s">
        <v>466</v>
      </c>
      <c r="B75" s="23"/>
      <c r="C75" s="24" t="s">
        <v>391</v>
      </c>
      <c r="D75" s="24">
        <v>13</v>
      </c>
      <c r="E75" s="25" t="s">
        <v>538</v>
      </c>
      <c r="F75" s="24" t="s">
        <v>529</v>
      </c>
      <c r="G75" s="26">
        <f>G76+G77</f>
        <v>152.62456</v>
      </c>
      <c r="H75" s="26">
        <f>H76+H77</f>
        <v>152.62456</v>
      </c>
    </row>
    <row r="76" spans="1:8" ht="31.2" x14ac:dyDescent="0.3">
      <c r="A76" s="22" t="s">
        <v>18</v>
      </c>
      <c r="B76" s="23"/>
      <c r="C76" s="24" t="s">
        <v>391</v>
      </c>
      <c r="D76" s="24">
        <v>13</v>
      </c>
      <c r="E76" s="25" t="s">
        <v>52</v>
      </c>
      <c r="F76" s="24">
        <v>200</v>
      </c>
      <c r="G76" s="26">
        <v>6.8</v>
      </c>
      <c r="H76" s="26">
        <v>6.8</v>
      </c>
    </row>
    <row r="77" spans="1:8" ht="31.2" x14ac:dyDescent="0.3">
      <c r="A77" s="22" t="s">
        <v>18</v>
      </c>
      <c r="B77" s="23"/>
      <c r="C77" s="24" t="s">
        <v>391</v>
      </c>
      <c r="D77" s="24">
        <v>13</v>
      </c>
      <c r="E77" s="25" t="s">
        <v>467</v>
      </c>
      <c r="F77" s="24">
        <v>200</v>
      </c>
      <c r="G77" s="26">
        <v>145.82455999999999</v>
      </c>
      <c r="H77" s="26">
        <v>145.82455999999999</v>
      </c>
    </row>
    <row r="78" spans="1:8" ht="46.8" x14ac:dyDescent="0.3">
      <c r="A78" s="22" t="s">
        <v>464</v>
      </c>
      <c r="B78" s="23"/>
      <c r="C78" s="24" t="s">
        <v>391</v>
      </c>
      <c r="D78" s="20">
        <v>13</v>
      </c>
      <c r="E78" s="19" t="s">
        <v>465</v>
      </c>
      <c r="F78" s="20" t="s">
        <v>529</v>
      </c>
      <c r="G78" s="21">
        <v>375.48</v>
      </c>
      <c r="H78" s="21">
        <v>375.48</v>
      </c>
    </row>
    <row r="79" spans="1:8" ht="31.2" x14ac:dyDescent="0.3">
      <c r="A79" s="22" t="s">
        <v>18</v>
      </c>
      <c r="B79" s="23"/>
      <c r="C79" s="24" t="s">
        <v>391</v>
      </c>
      <c r="D79" s="24">
        <v>13</v>
      </c>
      <c r="E79" s="25" t="s">
        <v>465</v>
      </c>
      <c r="F79" s="24">
        <v>200</v>
      </c>
      <c r="G79" s="26">
        <v>375.48</v>
      </c>
      <c r="H79" s="26">
        <v>375.48</v>
      </c>
    </row>
    <row r="80" spans="1:8" ht="46.8" x14ac:dyDescent="0.3">
      <c r="A80" s="17" t="s">
        <v>58</v>
      </c>
      <c r="B80" s="18"/>
      <c r="C80" s="20" t="s">
        <v>421</v>
      </c>
      <c r="D80" s="20"/>
      <c r="E80" s="19"/>
      <c r="F80" s="20"/>
      <c r="G80" s="21">
        <f>G81+G90</f>
        <v>4370.9356800000005</v>
      </c>
      <c r="H80" s="21">
        <f>H81+H90</f>
        <v>4369.6636500000004</v>
      </c>
    </row>
    <row r="81" spans="1:8" ht="78" x14ac:dyDescent="0.3">
      <c r="A81" s="17" t="s">
        <v>59</v>
      </c>
      <c r="B81" s="18"/>
      <c r="C81" s="20" t="s">
        <v>421</v>
      </c>
      <c r="D81" s="20" t="s">
        <v>428</v>
      </c>
      <c r="E81" s="19" t="s">
        <v>9</v>
      </c>
      <c r="F81" s="20" t="s">
        <v>529</v>
      </c>
      <c r="G81" s="21">
        <f>G82</f>
        <v>4333.1083800000006</v>
      </c>
      <c r="H81" s="21">
        <f>H82</f>
        <v>4331.8363500000005</v>
      </c>
    </row>
    <row r="82" spans="1:8" ht="109.2" x14ac:dyDescent="0.3">
      <c r="A82" s="17" t="s">
        <v>554</v>
      </c>
      <c r="B82" s="18"/>
      <c r="C82" s="20" t="s">
        <v>421</v>
      </c>
      <c r="D82" s="20" t="s">
        <v>428</v>
      </c>
      <c r="E82" s="19" t="s">
        <v>60</v>
      </c>
      <c r="F82" s="20" t="s">
        <v>529</v>
      </c>
      <c r="G82" s="21">
        <f>G83+G85+G87</f>
        <v>4333.1083800000006</v>
      </c>
      <c r="H82" s="21">
        <f>H83+H85+H87</f>
        <v>4331.8363500000005</v>
      </c>
    </row>
    <row r="83" spans="1:8" ht="78" x14ac:dyDescent="0.3">
      <c r="A83" s="22" t="s">
        <v>468</v>
      </c>
      <c r="B83" s="23"/>
      <c r="C83" s="24" t="s">
        <v>421</v>
      </c>
      <c r="D83" s="24" t="s">
        <v>428</v>
      </c>
      <c r="E83" s="25" t="s">
        <v>61</v>
      </c>
      <c r="F83" s="24" t="s">
        <v>529</v>
      </c>
      <c r="G83" s="26">
        <f>G84</f>
        <v>15</v>
      </c>
      <c r="H83" s="26">
        <f>H84</f>
        <v>15</v>
      </c>
    </row>
    <row r="84" spans="1:8" ht="31.2" x14ac:dyDescent="0.3">
      <c r="A84" s="22" t="s">
        <v>18</v>
      </c>
      <c r="B84" s="23"/>
      <c r="C84" s="24" t="s">
        <v>421</v>
      </c>
      <c r="D84" s="24" t="s">
        <v>428</v>
      </c>
      <c r="E84" s="25" t="s">
        <v>61</v>
      </c>
      <c r="F84" s="24">
        <v>200</v>
      </c>
      <c r="G84" s="26">
        <v>15</v>
      </c>
      <c r="H84" s="26">
        <v>15</v>
      </c>
    </row>
    <row r="85" spans="1:8" ht="78" x14ac:dyDescent="0.3">
      <c r="A85" s="22" t="s">
        <v>62</v>
      </c>
      <c r="B85" s="23"/>
      <c r="C85" s="24" t="s">
        <v>421</v>
      </c>
      <c r="D85" s="24" t="s">
        <v>428</v>
      </c>
      <c r="E85" s="25" t="s">
        <v>63</v>
      </c>
      <c r="F85" s="24" t="s">
        <v>529</v>
      </c>
      <c r="G85" s="26">
        <f>G86</f>
        <v>109.96000000000001</v>
      </c>
      <c r="H85" s="26">
        <f>H86</f>
        <v>109.96000000000001</v>
      </c>
    </row>
    <row r="86" spans="1:8" ht="31.2" x14ac:dyDescent="0.3">
      <c r="A86" s="22" t="s">
        <v>18</v>
      </c>
      <c r="B86" s="23"/>
      <c r="C86" s="24" t="s">
        <v>421</v>
      </c>
      <c r="D86" s="24" t="s">
        <v>428</v>
      </c>
      <c r="E86" s="25" t="s">
        <v>63</v>
      </c>
      <c r="F86" s="24">
        <v>200</v>
      </c>
      <c r="G86" s="26">
        <f>55.36+54.6</f>
        <v>109.96000000000001</v>
      </c>
      <c r="H86" s="26">
        <f>55.36+54.6</f>
        <v>109.96000000000001</v>
      </c>
    </row>
    <row r="87" spans="1:8" ht="46.8" x14ac:dyDescent="0.3">
      <c r="A87" s="22" t="s">
        <v>65</v>
      </c>
      <c r="B87" s="23"/>
      <c r="C87" s="24" t="s">
        <v>421</v>
      </c>
      <c r="D87" s="24" t="s">
        <v>428</v>
      </c>
      <c r="E87" s="25" t="s">
        <v>64</v>
      </c>
      <c r="F87" s="24" t="s">
        <v>529</v>
      </c>
      <c r="G87" s="26">
        <f>G88+G89</f>
        <v>4208.1483800000005</v>
      </c>
      <c r="H87" s="26">
        <f>H88+H89</f>
        <v>4206.8763500000005</v>
      </c>
    </row>
    <row r="88" spans="1:8" ht="78" x14ac:dyDescent="0.3">
      <c r="A88" s="22" t="s">
        <v>66</v>
      </c>
      <c r="B88" s="23"/>
      <c r="C88" s="24" t="s">
        <v>421</v>
      </c>
      <c r="D88" s="24" t="s">
        <v>428</v>
      </c>
      <c r="E88" s="25" t="s">
        <v>67</v>
      </c>
      <c r="F88" s="24">
        <v>100</v>
      </c>
      <c r="G88" s="26">
        <f>2847.60887+2.60095+853.97256</f>
        <v>3704.1823800000002</v>
      </c>
      <c r="H88" s="26">
        <f>2847.60887+2.60095+853.97256</f>
        <v>3704.1823800000002</v>
      </c>
    </row>
    <row r="89" spans="1:8" ht="31.2" x14ac:dyDescent="0.3">
      <c r="A89" s="22" t="s">
        <v>18</v>
      </c>
      <c r="B89" s="23"/>
      <c r="C89" s="24" t="s">
        <v>421</v>
      </c>
      <c r="D89" s="24" t="s">
        <v>428</v>
      </c>
      <c r="E89" s="25" t="s">
        <v>67</v>
      </c>
      <c r="F89" s="24">
        <v>200</v>
      </c>
      <c r="G89" s="26">
        <f>427.656+76.31</f>
        <v>503.96600000000001</v>
      </c>
      <c r="H89" s="26">
        <f>426.38397+76.31</f>
        <v>502.69396999999998</v>
      </c>
    </row>
    <row r="90" spans="1:8" ht="31.2" x14ac:dyDescent="0.3">
      <c r="A90" s="22" t="s">
        <v>68</v>
      </c>
      <c r="B90" s="23"/>
      <c r="C90" s="24" t="s">
        <v>421</v>
      </c>
      <c r="D90" s="24">
        <v>10</v>
      </c>
      <c r="E90" s="25" t="s">
        <v>9</v>
      </c>
      <c r="F90" s="24" t="s">
        <v>529</v>
      </c>
      <c r="G90" s="26">
        <f>G91+G94</f>
        <v>37.827300000000001</v>
      </c>
      <c r="H90" s="26">
        <f>H91+H94</f>
        <v>37.827300000000001</v>
      </c>
    </row>
    <row r="91" spans="1:8" ht="109.2" x14ac:dyDescent="0.3">
      <c r="A91" s="17" t="s">
        <v>554</v>
      </c>
      <c r="B91" s="18"/>
      <c r="C91" s="20" t="s">
        <v>421</v>
      </c>
      <c r="D91" s="20" t="s">
        <v>400</v>
      </c>
      <c r="E91" s="19" t="s">
        <v>60</v>
      </c>
      <c r="F91" s="20" t="s">
        <v>529</v>
      </c>
      <c r="G91" s="21">
        <f>G92</f>
        <v>7.8273000000000001</v>
      </c>
      <c r="H91" s="21">
        <f>H92</f>
        <v>7.8273000000000001</v>
      </c>
    </row>
    <row r="92" spans="1:8" ht="31.2" x14ac:dyDescent="0.3">
      <c r="A92" s="22" t="s">
        <v>69</v>
      </c>
      <c r="B92" s="23"/>
      <c r="C92" s="24" t="s">
        <v>421</v>
      </c>
      <c r="D92" s="24">
        <v>10</v>
      </c>
      <c r="E92" s="25" t="s">
        <v>70</v>
      </c>
      <c r="F92" s="24" t="s">
        <v>529</v>
      </c>
      <c r="G92" s="26">
        <f>G93</f>
        <v>7.8273000000000001</v>
      </c>
      <c r="H92" s="26">
        <f>H93</f>
        <v>7.8273000000000001</v>
      </c>
    </row>
    <row r="93" spans="1:8" ht="31.2" x14ac:dyDescent="0.3">
      <c r="A93" s="22" t="s">
        <v>18</v>
      </c>
      <c r="B93" s="23"/>
      <c r="C93" s="24" t="s">
        <v>421</v>
      </c>
      <c r="D93" s="24">
        <v>10</v>
      </c>
      <c r="E93" s="25" t="s">
        <v>70</v>
      </c>
      <c r="F93" s="24">
        <v>200</v>
      </c>
      <c r="G93" s="26">
        <v>7.8273000000000001</v>
      </c>
      <c r="H93" s="26">
        <f>7.8273</f>
        <v>7.8273000000000001</v>
      </c>
    </row>
    <row r="94" spans="1:8" x14ac:dyDescent="0.3">
      <c r="A94" s="17" t="s">
        <v>178</v>
      </c>
      <c r="B94" s="18"/>
      <c r="C94" s="20" t="s">
        <v>421</v>
      </c>
      <c r="D94" s="20" t="s">
        <v>400</v>
      </c>
      <c r="E94" s="19" t="s">
        <v>537</v>
      </c>
      <c r="F94" s="20"/>
      <c r="G94" s="21">
        <f>G95</f>
        <v>30</v>
      </c>
      <c r="H94" s="21">
        <f>H95</f>
        <v>30</v>
      </c>
    </row>
    <row r="95" spans="1:8" ht="93.6" x14ac:dyDescent="0.3">
      <c r="A95" s="22" t="s">
        <v>71</v>
      </c>
      <c r="B95" s="23"/>
      <c r="C95" s="24" t="s">
        <v>421</v>
      </c>
      <c r="D95" s="24">
        <v>10</v>
      </c>
      <c r="E95" s="25" t="s">
        <v>72</v>
      </c>
      <c r="F95" s="24" t="s">
        <v>529</v>
      </c>
      <c r="G95" s="26">
        <f>G96</f>
        <v>30</v>
      </c>
      <c r="H95" s="26">
        <f>H96</f>
        <v>30</v>
      </c>
    </row>
    <row r="96" spans="1:8" ht="31.2" x14ac:dyDescent="0.3">
      <c r="A96" s="22" t="s">
        <v>18</v>
      </c>
      <c r="B96" s="23"/>
      <c r="C96" s="24" t="s">
        <v>421</v>
      </c>
      <c r="D96" s="24">
        <v>10</v>
      </c>
      <c r="E96" s="25" t="s">
        <v>72</v>
      </c>
      <c r="F96" s="24">
        <v>200</v>
      </c>
      <c r="G96" s="26">
        <v>30</v>
      </c>
      <c r="H96" s="26">
        <v>30</v>
      </c>
    </row>
    <row r="97" spans="1:8" x14ac:dyDescent="0.3">
      <c r="A97" s="17" t="s">
        <v>73</v>
      </c>
      <c r="B97" s="18"/>
      <c r="C97" s="20" t="s">
        <v>422</v>
      </c>
      <c r="D97" s="20"/>
      <c r="E97" s="19"/>
      <c r="F97" s="20"/>
      <c r="G97" s="21">
        <f>G98+G106+G120</f>
        <v>26918.753940000002</v>
      </c>
      <c r="H97" s="21">
        <f>H98+H106+H120</f>
        <v>25463.776850000002</v>
      </c>
    </row>
    <row r="98" spans="1:8" x14ac:dyDescent="0.3">
      <c r="A98" s="17" t="s">
        <v>74</v>
      </c>
      <c r="B98" s="18"/>
      <c r="C98" s="20" t="s">
        <v>422</v>
      </c>
      <c r="D98" s="20" t="s">
        <v>426</v>
      </c>
      <c r="E98" s="19" t="s">
        <v>9</v>
      </c>
      <c r="F98" s="20" t="s">
        <v>529</v>
      </c>
      <c r="G98" s="21">
        <f>G99+G102</f>
        <v>15899.903890000001</v>
      </c>
      <c r="H98" s="21">
        <f>H99+H102</f>
        <v>14952.302470000001</v>
      </c>
    </row>
    <row r="99" spans="1:8" x14ac:dyDescent="0.3">
      <c r="A99" s="17" t="s">
        <v>178</v>
      </c>
      <c r="B99" s="18"/>
      <c r="C99" s="20" t="s">
        <v>422</v>
      </c>
      <c r="D99" s="20" t="s">
        <v>426</v>
      </c>
      <c r="E99" s="19" t="s">
        <v>23</v>
      </c>
      <c r="F99" s="20"/>
      <c r="G99" s="21">
        <f>G100</f>
        <v>947.60141999999996</v>
      </c>
      <c r="H99" s="21">
        <f>H100</f>
        <v>0</v>
      </c>
    </row>
    <row r="100" spans="1:8" ht="46.8" x14ac:dyDescent="0.3">
      <c r="A100" s="22" t="s">
        <v>75</v>
      </c>
      <c r="B100" s="23"/>
      <c r="C100" s="24" t="s">
        <v>422</v>
      </c>
      <c r="D100" s="24" t="s">
        <v>426</v>
      </c>
      <c r="E100" s="25" t="s">
        <v>76</v>
      </c>
      <c r="F100" s="24" t="s">
        <v>529</v>
      </c>
      <c r="G100" s="26">
        <f>G101</f>
        <v>947.60141999999996</v>
      </c>
      <c r="H100" s="26">
        <f>H101</f>
        <v>0</v>
      </c>
    </row>
    <row r="101" spans="1:8" ht="31.2" x14ac:dyDescent="0.3">
      <c r="A101" s="22" t="s">
        <v>77</v>
      </c>
      <c r="B101" s="23"/>
      <c r="C101" s="24" t="s">
        <v>422</v>
      </c>
      <c r="D101" s="24" t="s">
        <v>426</v>
      </c>
      <c r="E101" s="25" t="s">
        <v>76</v>
      </c>
      <c r="F101" s="24">
        <v>200</v>
      </c>
      <c r="G101" s="26">
        <v>947.60141999999996</v>
      </c>
      <c r="H101" s="26">
        <v>0</v>
      </c>
    </row>
    <row r="102" spans="1:8" ht="62.4" x14ac:dyDescent="0.3">
      <c r="A102" s="17" t="s">
        <v>78</v>
      </c>
      <c r="B102" s="18"/>
      <c r="C102" s="20" t="s">
        <v>422</v>
      </c>
      <c r="D102" s="20" t="s">
        <v>400</v>
      </c>
      <c r="E102" s="19" t="s">
        <v>540</v>
      </c>
      <c r="F102" s="20"/>
      <c r="G102" s="21">
        <f>G103</f>
        <v>14952.302470000001</v>
      </c>
      <c r="H102" s="21">
        <f>H103</f>
        <v>14952.302470000001</v>
      </c>
    </row>
    <row r="103" spans="1:8" ht="62.4" x14ac:dyDescent="0.3">
      <c r="A103" s="22" t="s">
        <v>78</v>
      </c>
      <c r="B103" s="23"/>
      <c r="C103" s="24" t="s">
        <v>422</v>
      </c>
      <c r="D103" s="24" t="s">
        <v>426</v>
      </c>
      <c r="E103" s="25" t="s">
        <v>469</v>
      </c>
      <c r="F103" s="24" t="s">
        <v>529</v>
      </c>
      <c r="G103" s="26">
        <f>G104+G105</f>
        <v>14952.302470000001</v>
      </c>
      <c r="H103" s="26">
        <f>H104+H105</f>
        <v>14952.302470000001</v>
      </c>
    </row>
    <row r="104" spans="1:8" x14ac:dyDescent="0.3">
      <c r="A104" s="22" t="s">
        <v>19</v>
      </c>
      <c r="B104" s="23"/>
      <c r="C104" s="24" t="s">
        <v>422</v>
      </c>
      <c r="D104" s="24" t="s">
        <v>426</v>
      </c>
      <c r="E104" s="25" t="s">
        <v>80</v>
      </c>
      <c r="F104" s="24">
        <v>800</v>
      </c>
      <c r="G104" s="26">
        <v>14802.77945</v>
      </c>
      <c r="H104" s="26">
        <v>14802.77945</v>
      </c>
    </row>
    <row r="105" spans="1:8" x14ac:dyDescent="0.3">
      <c r="A105" s="22" t="s">
        <v>19</v>
      </c>
      <c r="B105" s="23"/>
      <c r="C105" s="24" t="s">
        <v>422</v>
      </c>
      <c r="D105" s="24" t="s">
        <v>426</v>
      </c>
      <c r="E105" s="25" t="s">
        <v>79</v>
      </c>
      <c r="F105" s="24">
        <v>800</v>
      </c>
      <c r="G105" s="26">
        <v>149.52302</v>
      </c>
      <c r="H105" s="26">
        <v>149.52302</v>
      </c>
    </row>
    <row r="106" spans="1:8" x14ac:dyDescent="0.3">
      <c r="A106" s="17" t="s">
        <v>81</v>
      </c>
      <c r="B106" s="18"/>
      <c r="C106" s="20" t="s">
        <v>422</v>
      </c>
      <c r="D106" s="20">
        <v>10</v>
      </c>
      <c r="E106" s="19" t="s">
        <v>9</v>
      </c>
      <c r="F106" s="20" t="s">
        <v>529</v>
      </c>
      <c r="G106" s="21">
        <f>G107+G116</f>
        <v>4398.0253999999995</v>
      </c>
      <c r="H106" s="21">
        <f>H107+H116</f>
        <v>3890.6497300000001</v>
      </c>
    </row>
    <row r="107" spans="1:8" x14ac:dyDescent="0.3">
      <c r="A107" s="22" t="s">
        <v>82</v>
      </c>
      <c r="B107" s="23"/>
      <c r="C107" s="24" t="s">
        <v>422</v>
      </c>
      <c r="D107" s="24">
        <v>10</v>
      </c>
      <c r="E107" s="25" t="s">
        <v>83</v>
      </c>
      <c r="F107" s="24" t="s">
        <v>529</v>
      </c>
      <c r="G107" s="26">
        <f>G108+G110+G112+G114</f>
        <v>3625.0003999999999</v>
      </c>
      <c r="H107" s="26">
        <f>H108+H110+H112+H114</f>
        <v>3405.8497300000004</v>
      </c>
    </row>
    <row r="108" spans="1:8" ht="62.4" x14ac:dyDescent="0.3">
      <c r="A108" s="22" t="s">
        <v>84</v>
      </c>
      <c r="B108" s="23"/>
      <c r="C108" s="24" t="s">
        <v>422</v>
      </c>
      <c r="D108" s="24">
        <v>10</v>
      </c>
      <c r="E108" s="25" t="s">
        <v>470</v>
      </c>
      <c r="F108" s="24" t="s">
        <v>529</v>
      </c>
      <c r="G108" s="26">
        <f>G109</f>
        <v>3009.7404000000001</v>
      </c>
      <c r="H108" s="26">
        <f>H109</f>
        <v>3009.7020000000002</v>
      </c>
    </row>
    <row r="109" spans="1:8" x14ac:dyDescent="0.3">
      <c r="A109" s="22" t="s">
        <v>19</v>
      </c>
      <c r="B109" s="23"/>
      <c r="C109" s="24" t="s">
        <v>422</v>
      </c>
      <c r="D109" s="24">
        <v>10</v>
      </c>
      <c r="E109" s="25" t="s">
        <v>470</v>
      </c>
      <c r="F109" s="24">
        <v>800</v>
      </c>
      <c r="G109" s="26">
        <v>3009.7404000000001</v>
      </c>
      <c r="H109" s="26">
        <v>3009.7020000000002</v>
      </c>
    </row>
    <row r="110" spans="1:8" ht="62.4" x14ac:dyDescent="0.3">
      <c r="A110" s="22" t="s">
        <v>85</v>
      </c>
      <c r="B110" s="23"/>
      <c r="C110" s="24" t="s">
        <v>422</v>
      </c>
      <c r="D110" s="24">
        <v>10</v>
      </c>
      <c r="E110" s="25" t="s">
        <v>471</v>
      </c>
      <c r="F110" s="24" t="s">
        <v>529</v>
      </c>
      <c r="G110" s="26">
        <f>G111</f>
        <v>414.96</v>
      </c>
      <c r="H110" s="26">
        <f>H111</f>
        <v>198.02</v>
      </c>
    </row>
    <row r="111" spans="1:8" ht="31.2" x14ac:dyDescent="0.3">
      <c r="A111" s="22" t="s">
        <v>18</v>
      </c>
      <c r="B111" s="23"/>
      <c r="C111" s="24" t="s">
        <v>422</v>
      </c>
      <c r="D111" s="24">
        <v>10</v>
      </c>
      <c r="E111" s="25" t="s">
        <v>471</v>
      </c>
      <c r="F111" s="24">
        <v>200</v>
      </c>
      <c r="G111" s="26">
        <v>414.96</v>
      </c>
      <c r="H111" s="26">
        <v>198.02</v>
      </c>
    </row>
    <row r="112" spans="1:8" ht="46.8" x14ac:dyDescent="0.3">
      <c r="A112" s="22" t="s">
        <v>86</v>
      </c>
      <c r="B112" s="23"/>
      <c r="C112" s="24" t="s">
        <v>422</v>
      </c>
      <c r="D112" s="24">
        <v>10</v>
      </c>
      <c r="E112" s="25" t="s">
        <v>472</v>
      </c>
      <c r="F112" s="24" t="s">
        <v>529</v>
      </c>
      <c r="G112" s="26">
        <f>G113</f>
        <v>167.6</v>
      </c>
      <c r="H112" s="26">
        <f>H113</f>
        <v>165.72773000000001</v>
      </c>
    </row>
    <row r="113" spans="1:8" ht="31.2" x14ac:dyDescent="0.3">
      <c r="A113" s="22" t="s">
        <v>18</v>
      </c>
      <c r="B113" s="23"/>
      <c r="C113" s="24" t="s">
        <v>422</v>
      </c>
      <c r="D113" s="24">
        <v>10</v>
      </c>
      <c r="E113" s="25" t="s">
        <v>472</v>
      </c>
      <c r="F113" s="24">
        <v>200</v>
      </c>
      <c r="G113" s="26">
        <v>167.6</v>
      </c>
      <c r="H113" s="26">
        <v>165.72773000000001</v>
      </c>
    </row>
    <row r="114" spans="1:8" ht="46.8" x14ac:dyDescent="0.3">
      <c r="A114" s="22" t="s">
        <v>87</v>
      </c>
      <c r="B114" s="23"/>
      <c r="C114" s="24" t="s">
        <v>422</v>
      </c>
      <c r="D114" s="24">
        <v>10</v>
      </c>
      <c r="E114" s="25" t="s">
        <v>473</v>
      </c>
      <c r="F114" s="24" t="s">
        <v>529</v>
      </c>
      <c r="G114" s="26">
        <f>G115</f>
        <v>32.700000000000003</v>
      </c>
      <c r="H114" s="26">
        <f>H115</f>
        <v>32.4</v>
      </c>
    </row>
    <row r="115" spans="1:8" ht="31.2" x14ac:dyDescent="0.3">
      <c r="A115" s="22" t="s">
        <v>18</v>
      </c>
      <c r="B115" s="23"/>
      <c r="C115" s="24" t="s">
        <v>422</v>
      </c>
      <c r="D115" s="24">
        <v>10</v>
      </c>
      <c r="E115" s="25" t="s">
        <v>473</v>
      </c>
      <c r="F115" s="24">
        <v>200</v>
      </c>
      <c r="G115" s="26">
        <v>32.700000000000003</v>
      </c>
      <c r="H115" s="26">
        <v>32.4</v>
      </c>
    </row>
    <row r="116" spans="1:8" x14ac:dyDescent="0.3">
      <c r="A116" s="17" t="s">
        <v>178</v>
      </c>
      <c r="B116" s="18"/>
      <c r="C116" s="20" t="s">
        <v>422</v>
      </c>
      <c r="D116" s="20" t="s">
        <v>400</v>
      </c>
      <c r="E116" s="19" t="s">
        <v>23</v>
      </c>
      <c r="F116" s="20"/>
      <c r="G116" s="21">
        <f>G117</f>
        <v>773.02499999999998</v>
      </c>
      <c r="H116" s="21">
        <f>H117</f>
        <v>484.79999999999995</v>
      </c>
    </row>
    <row r="117" spans="1:8" ht="46.8" x14ac:dyDescent="0.3">
      <c r="A117" s="22" t="s">
        <v>88</v>
      </c>
      <c r="B117" s="23"/>
      <c r="C117" s="24" t="s">
        <v>422</v>
      </c>
      <c r="D117" s="24">
        <v>10</v>
      </c>
      <c r="E117" s="25" t="s">
        <v>89</v>
      </c>
      <c r="F117" s="24" t="s">
        <v>392</v>
      </c>
      <c r="G117" s="26">
        <f>G118+G119</f>
        <v>773.02499999999998</v>
      </c>
      <c r="H117" s="26">
        <f>H118+H119</f>
        <v>484.79999999999995</v>
      </c>
    </row>
    <row r="118" spans="1:8" ht="31.2" x14ac:dyDescent="0.3">
      <c r="A118" s="22" t="s">
        <v>18</v>
      </c>
      <c r="B118" s="23"/>
      <c r="C118" s="24" t="s">
        <v>422</v>
      </c>
      <c r="D118" s="24">
        <v>10</v>
      </c>
      <c r="E118" s="25" t="s">
        <v>90</v>
      </c>
      <c r="F118" s="24">
        <v>200</v>
      </c>
      <c r="G118" s="26">
        <v>100.22499999999999</v>
      </c>
      <c r="H118" s="26">
        <v>96.96</v>
      </c>
    </row>
    <row r="119" spans="1:8" ht="31.2" x14ac:dyDescent="0.3">
      <c r="A119" s="22" t="s">
        <v>18</v>
      </c>
      <c r="B119" s="23"/>
      <c r="C119" s="24" t="s">
        <v>422</v>
      </c>
      <c r="D119" s="24">
        <v>10</v>
      </c>
      <c r="E119" s="25" t="s">
        <v>91</v>
      </c>
      <c r="F119" s="24">
        <v>200</v>
      </c>
      <c r="G119" s="26">
        <v>672.8</v>
      </c>
      <c r="H119" s="26">
        <v>387.84</v>
      </c>
    </row>
    <row r="120" spans="1:8" ht="31.2" x14ac:dyDescent="0.3">
      <c r="A120" s="17" t="s">
        <v>92</v>
      </c>
      <c r="B120" s="18"/>
      <c r="C120" s="20" t="s">
        <v>422</v>
      </c>
      <c r="D120" s="20">
        <v>12</v>
      </c>
      <c r="E120" s="19" t="s">
        <v>9</v>
      </c>
      <c r="F120" s="20" t="s">
        <v>529</v>
      </c>
      <c r="G120" s="21">
        <f>G121+G132</f>
        <v>6620.8246500000005</v>
      </c>
      <c r="H120" s="21">
        <f>H121+H132</f>
        <v>6620.8246500000005</v>
      </c>
    </row>
    <row r="121" spans="1:8" ht="78" x14ac:dyDescent="0.3">
      <c r="A121" s="17" t="s">
        <v>542</v>
      </c>
      <c r="B121" s="18"/>
      <c r="C121" s="20" t="s">
        <v>422</v>
      </c>
      <c r="D121" s="20" t="s">
        <v>420</v>
      </c>
      <c r="E121" s="19" t="s">
        <v>543</v>
      </c>
      <c r="F121" s="20" t="s">
        <v>529</v>
      </c>
      <c r="G121" s="21">
        <f>G122+G124+G126+G129</f>
        <v>3364.1275800000003</v>
      </c>
      <c r="H121" s="21">
        <f>H122+H124+H126+H129</f>
        <v>3364.1275800000003</v>
      </c>
    </row>
    <row r="122" spans="1:8" ht="46.8" x14ac:dyDescent="0.3">
      <c r="A122" s="22" t="s">
        <v>93</v>
      </c>
      <c r="B122" s="23"/>
      <c r="C122" s="24" t="s">
        <v>422</v>
      </c>
      <c r="D122" s="24">
        <v>12</v>
      </c>
      <c r="E122" s="25" t="s">
        <v>94</v>
      </c>
      <c r="F122" s="24" t="s">
        <v>529</v>
      </c>
      <c r="G122" s="26">
        <f>G123</f>
        <v>0</v>
      </c>
      <c r="H122" s="26">
        <f>H123</f>
        <v>0</v>
      </c>
    </row>
    <row r="123" spans="1:8" ht="31.2" x14ac:dyDescent="0.3">
      <c r="A123" s="22" t="s">
        <v>18</v>
      </c>
      <c r="B123" s="23"/>
      <c r="C123" s="24" t="s">
        <v>422</v>
      </c>
      <c r="D123" s="24">
        <v>12</v>
      </c>
      <c r="E123" s="25" t="s">
        <v>95</v>
      </c>
      <c r="F123" s="24">
        <v>200</v>
      </c>
      <c r="G123" s="26">
        <v>0</v>
      </c>
      <c r="H123" s="26">
        <v>0</v>
      </c>
    </row>
    <row r="124" spans="1:8" ht="62.4" x14ac:dyDescent="0.3">
      <c r="A124" s="22" t="s">
        <v>96</v>
      </c>
      <c r="B124" s="23"/>
      <c r="C124" s="24" t="s">
        <v>422</v>
      </c>
      <c r="D124" s="24">
        <v>12</v>
      </c>
      <c r="E124" s="25" t="s">
        <v>97</v>
      </c>
      <c r="F124" s="24" t="s">
        <v>529</v>
      </c>
      <c r="G124" s="26">
        <f>G125</f>
        <v>1549.1275800000001</v>
      </c>
      <c r="H124" s="26">
        <f>H125</f>
        <v>1549.1275800000001</v>
      </c>
    </row>
    <row r="125" spans="1:8" ht="62.4" x14ac:dyDescent="0.3">
      <c r="A125" s="22" t="s">
        <v>51</v>
      </c>
      <c r="B125" s="23"/>
      <c r="C125" s="24" t="s">
        <v>422</v>
      </c>
      <c r="D125" s="24">
        <v>12</v>
      </c>
      <c r="E125" s="25" t="s">
        <v>97</v>
      </c>
      <c r="F125" s="24">
        <v>600</v>
      </c>
      <c r="G125" s="26">
        <v>1549.1275800000001</v>
      </c>
      <c r="H125" s="26">
        <v>1549.1275800000001</v>
      </c>
    </row>
    <row r="126" spans="1:8" ht="46.8" x14ac:dyDescent="0.3">
      <c r="A126" s="22" t="s">
        <v>98</v>
      </c>
      <c r="B126" s="23"/>
      <c r="C126" s="24" t="s">
        <v>422</v>
      </c>
      <c r="D126" s="24">
        <v>12</v>
      </c>
      <c r="E126" s="25" t="s">
        <v>99</v>
      </c>
      <c r="F126" s="24" t="s">
        <v>529</v>
      </c>
      <c r="G126" s="26">
        <f>G127+G128</f>
        <v>0</v>
      </c>
      <c r="H126" s="26">
        <f>H127+H128</f>
        <v>0</v>
      </c>
    </row>
    <row r="127" spans="1:8" ht="31.2" x14ac:dyDescent="0.3">
      <c r="A127" s="22" t="s">
        <v>18</v>
      </c>
      <c r="B127" s="23"/>
      <c r="C127" s="24" t="s">
        <v>422</v>
      </c>
      <c r="D127" s="24">
        <v>12</v>
      </c>
      <c r="E127" s="25" t="s">
        <v>99</v>
      </c>
      <c r="F127" s="24">
        <v>200</v>
      </c>
      <c r="G127" s="26">
        <v>0</v>
      </c>
      <c r="H127" s="26">
        <v>0</v>
      </c>
    </row>
    <row r="128" spans="1:8" ht="62.4" x14ac:dyDescent="0.3">
      <c r="A128" s="22" t="s">
        <v>51</v>
      </c>
      <c r="B128" s="23"/>
      <c r="C128" s="24" t="s">
        <v>422</v>
      </c>
      <c r="D128" s="24">
        <v>12</v>
      </c>
      <c r="E128" s="25" t="s">
        <v>99</v>
      </c>
      <c r="F128" s="24">
        <v>600</v>
      </c>
      <c r="G128" s="26">
        <v>0</v>
      </c>
      <c r="H128" s="26">
        <v>0</v>
      </c>
    </row>
    <row r="129" spans="1:8" ht="93.6" x14ac:dyDescent="0.3">
      <c r="A129" s="22" t="s">
        <v>445</v>
      </c>
      <c r="B129" s="23"/>
      <c r="C129" s="24" t="s">
        <v>422</v>
      </c>
      <c r="D129" s="24" t="s">
        <v>420</v>
      </c>
      <c r="E129" s="6" t="s">
        <v>546</v>
      </c>
      <c r="F129" s="24" t="s">
        <v>529</v>
      </c>
      <c r="G129" s="26">
        <f>G130+G131</f>
        <v>1815</v>
      </c>
      <c r="H129" s="26">
        <f>H130+H131</f>
        <v>1815</v>
      </c>
    </row>
    <row r="130" spans="1:8" x14ac:dyDescent="0.3">
      <c r="A130" s="22" t="s">
        <v>19</v>
      </c>
      <c r="B130" s="23"/>
      <c r="C130" s="24" t="s">
        <v>422</v>
      </c>
      <c r="D130" s="24" t="s">
        <v>420</v>
      </c>
      <c r="E130" s="25" t="s">
        <v>544</v>
      </c>
      <c r="F130" s="24" t="s">
        <v>401</v>
      </c>
      <c r="G130" s="26">
        <v>1440</v>
      </c>
      <c r="H130" s="26">
        <v>1440</v>
      </c>
    </row>
    <row r="131" spans="1:8" x14ac:dyDescent="0.3">
      <c r="A131" s="22" t="s">
        <v>19</v>
      </c>
      <c r="B131" s="23"/>
      <c r="C131" s="24" t="s">
        <v>422</v>
      </c>
      <c r="D131" s="24" t="s">
        <v>420</v>
      </c>
      <c r="E131" s="25" t="s">
        <v>545</v>
      </c>
      <c r="F131" s="24" t="s">
        <v>401</v>
      </c>
      <c r="G131" s="26">
        <v>375</v>
      </c>
      <c r="H131" s="26">
        <v>375</v>
      </c>
    </row>
    <row r="132" spans="1:8" x14ac:dyDescent="0.3">
      <c r="A132" s="17" t="s">
        <v>541</v>
      </c>
      <c r="B132" s="18"/>
      <c r="C132" s="20" t="s">
        <v>422</v>
      </c>
      <c r="D132" s="20" t="s">
        <v>420</v>
      </c>
      <c r="E132" s="19" t="s">
        <v>537</v>
      </c>
      <c r="F132" s="20" t="s">
        <v>529</v>
      </c>
      <c r="G132" s="21">
        <f>G133+G135+G137+G139</f>
        <v>3256.6970700000002</v>
      </c>
      <c r="H132" s="21">
        <f>H133+H135+H137+H139</f>
        <v>3256.6970700000002</v>
      </c>
    </row>
    <row r="133" spans="1:8" ht="31.2" x14ac:dyDescent="0.3">
      <c r="A133" s="22" t="s">
        <v>100</v>
      </c>
      <c r="B133" s="23"/>
      <c r="C133" s="24" t="s">
        <v>422</v>
      </c>
      <c r="D133" s="24">
        <v>12</v>
      </c>
      <c r="E133" s="25" t="s">
        <v>56</v>
      </c>
      <c r="F133" s="24" t="s">
        <v>529</v>
      </c>
      <c r="G133" s="26">
        <v>1500</v>
      </c>
      <c r="H133" s="26">
        <v>1500</v>
      </c>
    </row>
    <row r="134" spans="1:8" ht="31.2" x14ac:dyDescent="0.3">
      <c r="A134" s="22" t="s">
        <v>18</v>
      </c>
      <c r="B134" s="23"/>
      <c r="C134" s="24" t="s">
        <v>422</v>
      </c>
      <c r="D134" s="24">
        <v>12</v>
      </c>
      <c r="E134" s="25" t="s">
        <v>56</v>
      </c>
      <c r="F134" s="24">
        <v>200</v>
      </c>
      <c r="G134" s="26">
        <v>1500</v>
      </c>
      <c r="H134" s="26">
        <v>1500</v>
      </c>
    </row>
    <row r="135" spans="1:8" ht="78" x14ac:dyDescent="0.3">
      <c r="A135" s="22" t="s">
        <v>103</v>
      </c>
      <c r="B135" s="23"/>
      <c r="C135" s="24" t="s">
        <v>422</v>
      </c>
      <c r="D135" s="24">
        <v>12</v>
      </c>
      <c r="E135" s="25" t="s">
        <v>474</v>
      </c>
      <c r="F135" s="24" t="s">
        <v>529</v>
      </c>
      <c r="G135" s="26">
        <f>G136</f>
        <v>1299.84691</v>
      </c>
      <c r="H135" s="26">
        <f>H136</f>
        <v>1299.84691</v>
      </c>
    </row>
    <row r="136" spans="1:8" x14ac:dyDescent="0.3">
      <c r="A136" s="22" t="s">
        <v>19</v>
      </c>
      <c r="B136" s="23"/>
      <c r="C136" s="24" t="s">
        <v>422</v>
      </c>
      <c r="D136" s="24">
        <v>12</v>
      </c>
      <c r="E136" s="25" t="s">
        <v>474</v>
      </c>
      <c r="F136" s="24">
        <v>800</v>
      </c>
      <c r="G136" s="26">
        <v>1299.84691</v>
      </c>
      <c r="H136" s="26">
        <v>1299.84691</v>
      </c>
    </row>
    <row r="137" spans="1:8" ht="78" x14ac:dyDescent="0.3">
      <c r="A137" s="22" t="s">
        <v>101</v>
      </c>
      <c r="B137" s="23"/>
      <c r="C137" s="24" t="s">
        <v>422</v>
      </c>
      <c r="D137" s="24">
        <v>12</v>
      </c>
      <c r="E137" s="25" t="s">
        <v>475</v>
      </c>
      <c r="F137" s="24" t="s">
        <v>529</v>
      </c>
      <c r="G137" s="26">
        <f>G138</f>
        <v>276.58674000000002</v>
      </c>
      <c r="H137" s="26">
        <f>H138</f>
        <v>276.58674000000002</v>
      </c>
    </row>
    <row r="138" spans="1:8" x14ac:dyDescent="0.3">
      <c r="A138" s="22" t="s">
        <v>19</v>
      </c>
      <c r="B138" s="23"/>
      <c r="C138" s="24" t="s">
        <v>422</v>
      </c>
      <c r="D138" s="24">
        <v>12</v>
      </c>
      <c r="E138" s="25" t="s">
        <v>475</v>
      </c>
      <c r="F138" s="24">
        <v>800</v>
      </c>
      <c r="G138" s="26">
        <v>276.58674000000002</v>
      </c>
      <c r="H138" s="26">
        <v>276.58674000000002</v>
      </c>
    </row>
    <row r="139" spans="1:8" ht="62.4" x14ac:dyDescent="0.3">
      <c r="A139" s="22" t="s">
        <v>102</v>
      </c>
      <c r="B139" s="23"/>
      <c r="C139" s="24" t="s">
        <v>422</v>
      </c>
      <c r="D139" s="24">
        <v>12</v>
      </c>
      <c r="E139" s="25" t="s">
        <v>476</v>
      </c>
      <c r="F139" s="24" t="s">
        <v>529</v>
      </c>
      <c r="G139" s="26">
        <f>G140</f>
        <v>180.26342</v>
      </c>
      <c r="H139" s="26">
        <f>H140</f>
        <v>180.26342</v>
      </c>
    </row>
    <row r="140" spans="1:8" x14ac:dyDescent="0.3">
      <c r="A140" s="22" t="s">
        <v>19</v>
      </c>
      <c r="B140" s="23"/>
      <c r="C140" s="24" t="s">
        <v>422</v>
      </c>
      <c r="D140" s="24">
        <v>12</v>
      </c>
      <c r="E140" s="25" t="s">
        <v>476</v>
      </c>
      <c r="F140" s="24">
        <v>800</v>
      </c>
      <c r="G140" s="26">
        <v>180.26342</v>
      </c>
      <c r="H140" s="26">
        <v>180.26342</v>
      </c>
    </row>
    <row r="141" spans="1:8" ht="31.2" x14ac:dyDescent="0.3">
      <c r="A141" s="17" t="s">
        <v>104</v>
      </c>
      <c r="B141" s="18"/>
      <c r="C141" s="20" t="s">
        <v>423</v>
      </c>
      <c r="D141" s="20"/>
      <c r="E141" s="19"/>
      <c r="F141" s="20"/>
      <c r="G141" s="21">
        <f>G142+G157+G163+G173</f>
        <v>161482.22856999998</v>
      </c>
      <c r="H141" s="21">
        <f>H142+H157+H163+H173</f>
        <v>158313.57423999999</v>
      </c>
    </row>
    <row r="142" spans="1:8" x14ac:dyDescent="0.3">
      <c r="A142" s="17" t="s">
        <v>105</v>
      </c>
      <c r="B142" s="18"/>
      <c r="C142" s="20" t="s">
        <v>423</v>
      </c>
      <c r="D142" s="20" t="s">
        <v>391</v>
      </c>
      <c r="E142" s="19" t="s">
        <v>9</v>
      </c>
      <c r="F142" s="20" t="s">
        <v>529</v>
      </c>
      <c r="G142" s="21">
        <f>G143+G146</f>
        <v>41240.395749999996</v>
      </c>
      <c r="H142" s="21">
        <f>H143+H146</f>
        <v>38107.453549999991</v>
      </c>
    </row>
    <row r="143" spans="1:8" ht="109.2" x14ac:dyDescent="0.3">
      <c r="A143" s="17" t="s">
        <v>554</v>
      </c>
      <c r="B143" s="18"/>
      <c r="C143" s="20" t="s">
        <v>423</v>
      </c>
      <c r="D143" s="20" t="s">
        <v>391</v>
      </c>
      <c r="E143" s="19" t="s">
        <v>151</v>
      </c>
      <c r="F143" s="20" t="s">
        <v>529</v>
      </c>
      <c r="G143" s="21">
        <f>G144</f>
        <v>2999.1391100000001</v>
      </c>
      <c r="H143" s="21">
        <f>H144</f>
        <v>2999.1391100000001</v>
      </c>
    </row>
    <row r="144" spans="1:8" ht="78" x14ac:dyDescent="0.3">
      <c r="A144" s="22" t="s">
        <v>106</v>
      </c>
      <c r="B144" s="23"/>
      <c r="C144" s="24" t="s">
        <v>423</v>
      </c>
      <c r="D144" s="24" t="s">
        <v>391</v>
      </c>
      <c r="E144" s="25" t="s">
        <v>107</v>
      </c>
      <c r="F144" s="24" t="s">
        <v>529</v>
      </c>
      <c r="G144" s="26">
        <f>G145</f>
        <v>2999.1391100000001</v>
      </c>
      <c r="H144" s="26">
        <f>H145</f>
        <v>2999.1391100000001</v>
      </c>
    </row>
    <row r="145" spans="1:8" ht="46.8" x14ac:dyDescent="0.3">
      <c r="A145" s="22" t="s">
        <v>108</v>
      </c>
      <c r="B145" s="23"/>
      <c r="C145" s="24" t="s">
        <v>423</v>
      </c>
      <c r="D145" s="24" t="s">
        <v>391</v>
      </c>
      <c r="E145" s="25" t="s">
        <v>107</v>
      </c>
      <c r="F145" s="24">
        <v>400</v>
      </c>
      <c r="G145" s="26">
        <v>2999.1391100000001</v>
      </c>
      <c r="H145" s="26">
        <v>2999.1391100000001</v>
      </c>
    </row>
    <row r="146" spans="1:8" x14ac:dyDescent="0.3">
      <c r="A146" s="17" t="s">
        <v>178</v>
      </c>
      <c r="B146" s="18"/>
      <c r="C146" s="20" t="s">
        <v>423</v>
      </c>
      <c r="D146" s="20" t="s">
        <v>391</v>
      </c>
      <c r="E146" s="19" t="s">
        <v>493</v>
      </c>
      <c r="F146" s="20"/>
      <c r="G146" s="21">
        <f>G147+G149+G153+G155</f>
        <v>38241.25664</v>
      </c>
      <c r="H146" s="21">
        <f>H147+H149+H153+H155</f>
        <v>35108.314439999995</v>
      </c>
    </row>
    <row r="147" spans="1:8" ht="31.2" x14ac:dyDescent="0.3">
      <c r="A147" s="22" t="s">
        <v>109</v>
      </c>
      <c r="B147" s="23"/>
      <c r="C147" s="24" t="s">
        <v>423</v>
      </c>
      <c r="D147" s="24" t="s">
        <v>391</v>
      </c>
      <c r="E147" s="25" t="s">
        <v>477</v>
      </c>
      <c r="F147" s="24" t="s">
        <v>529</v>
      </c>
      <c r="G147" s="26">
        <f>G148</f>
        <v>1475.5364199999999</v>
      </c>
      <c r="H147" s="26">
        <f>H148</f>
        <v>1475.5364</v>
      </c>
    </row>
    <row r="148" spans="1:8" ht="46.8" x14ac:dyDescent="0.3">
      <c r="A148" s="22" t="s">
        <v>108</v>
      </c>
      <c r="B148" s="23"/>
      <c r="C148" s="24" t="s">
        <v>423</v>
      </c>
      <c r="D148" s="24" t="s">
        <v>391</v>
      </c>
      <c r="E148" s="25" t="s">
        <v>477</v>
      </c>
      <c r="F148" s="24">
        <v>400</v>
      </c>
      <c r="G148" s="26">
        <v>1475.5364199999999</v>
      </c>
      <c r="H148" s="26">
        <v>1475.5364</v>
      </c>
    </row>
    <row r="149" spans="1:8" ht="140.4" x14ac:dyDescent="0.3">
      <c r="A149" s="22" t="s">
        <v>110</v>
      </c>
      <c r="B149" s="23"/>
      <c r="C149" s="24" t="s">
        <v>423</v>
      </c>
      <c r="D149" s="24" t="s">
        <v>391</v>
      </c>
      <c r="E149" s="25" t="s">
        <v>478</v>
      </c>
      <c r="F149" s="24" t="s">
        <v>529</v>
      </c>
      <c r="G149" s="26">
        <f>G150+G151+G152</f>
        <v>36324.054120000001</v>
      </c>
      <c r="H149" s="26">
        <f>H150+H151+H152</f>
        <v>33231.114229999999</v>
      </c>
    </row>
    <row r="150" spans="1:8" ht="46.8" x14ac:dyDescent="0.3">
      <c r="A150" s="22" t="s">
        <v>108</v>
      </c>
      <c r="B150" s="23"/>
      <c r="C150" s="24" t="s">
        <v>423</v>
      </c>
      <c r="D150" s="24" t="s">
        <v>391</v>
      </c>
      <c r="E150" s="25" t="s">
        <v>479</v>
      </c>
      <c r="F150" s="24">
        <v>400</v>
      </c>
      <c r="G150" s="26">
        <v>837.50054</v>
      </c>
      <c r="H150" s="26">
        <v>801.57953999999995</v>
      </c>
    </row>
    <row r="151" spans="1:8" ht="46.8" x14ac:dyDescent="0.3">
      <c r="A151" s="22" t="s">
        <v>108</v>
      </c>
      <c r="B151" s="23"/>
      <c r="C151" s="24" t="s">
        <v>423</v>
      </c>
      <c r="D151" s="24" t="s">
        <v>391</v>
      </c>
      <c r="E151" s="25" t="s">
        <v>480</v>
      </c>
      <c r="F151" s="24">
        <v>400</v>
      </c>
      <c r="G151" s="26">
        <v>34286.760580000002</v>
      </c>
      <c r="H151" s="26">
        <v>31371.686669999999</v>
      </c>
    </row>
    <row r="152" spans="1:8" ht="46.8" x14ac:dyDescent="0.3">
      <c r="A152" s="22" t="s">
        <v>108</v>
      </c>
      <c r="B152" s="23"/>
      <c r="C152" s="24" t="s">
        <v>423</v>
      </c>
      <c r="D152" s="24" t="s">
        <v>391</v>
      </c>
      <c r="E152" s="25" t="s">
        <v>481</v>
      </c>
      <c r="F152" s="24">
        <v>400</v>
      </c>
      <c r="G152" s="26">
        <v>1199.7929999999999</v>
      </c>
      <c r="H152" s="26">
        <v>1057.8480199999999</v>
      </c>
    </row>
    <row r="153" spans="1:8" ht="46.8" x14ac:dyDescent="0.3">
      <c r="A153" s="22" t="s">
        <v>57</v>
      </c>
      <c r="B153" s="23"/>
      <c r="C153" s="24" t="s">
        <v>423</v>
      </c>
      <c r="D153" s="24" t="s">
        <v>391</v>
      </c>
      <c r="E153" s="25" t="s">
        <v>482</v>
      </c>
      <c r="F153" s="24" t="s">
        <v>529</v>
      </c>
      <c r="G153" s="26">
        <f>G154</f>
        <v>151.63800000000001</v>
      </c>
      <c r="H153" s="26">
        <f>H154</f>
        <v>151.63800000000001</v>
      </c>
    </row>
    <row r="154" spans="1:8" x14ac:dyDescent="0.3">
      <c r="A154" s="22" t="s">
        <v>19</v>
      </c>
      <c r="B154" s="23"/>
      <c r="C154" s="24" t="s">
        <v>423</v>
      </c>
      <c r="D154" s="24" t="s">
        <v>391</v>
      </c>
      <c r="E154" s="25" t="s">
        <v>482</v>
      </c>
      <c r="F154" s="24">
        <v>800</v>
      </c>
      <c r="G154" s="26">
        <v>151.63800000000001</v>
      </c>
      <c r="H154" s="26">
        <v>151.63800000000001</v>
      </c>
    </row>
    <row r="155" spans="1:8" ht="46.8" x14ac:dyDescent="0.3">
      <c r="A155" s="22" t="s">
        <v>53</v>
      </c>
      <c r="B155" s="23"/>
      <c r="C155" s="24" t="s">
        <v>423</v>
      </c>
      <c r="D155" s="24" t="s">
        <v>391</v>
      </c>
      <c r="E155" s="25" t="s">
        <v>547</v>
      </c>
      <c r="F155" s="24" t="s">
        <v>529</v>
      </c>
      <c r="G155" s="26">
        <f>G156</f>
        <v>290.02809999999999</v>
      </c>
      <c r="H155" s="26">
        <f>H156</f>
        <v>250.02581000000001</v>
      </c>
    </row>
    <row r="156" spans="1:8" ht="31.2" x14ac:dyDescent="0.3">
      <c r="A156" s="22" t="s">
        <v>18</v>
      </c>
      <c r="B156" s="23"/>
      <c r="C156" s="24" t="s">
        <v>423</v>
      </c>
      <c r="D156" s="24" t="s">
        <v>391</v>
      </c>
      <c r="E156" s="25" t="s">
        <v>547</v>
      </c>
      <c r="F156" s="24" t="s">
        <v>394</v>
      </c>
      <c r="G156" s="26">
        <v>290.02809999999999</v>
      </c>
      <c r="H156" s="26">
        <v>250.02581000000001</v>
      </c>
    </row>
    <row r="157" spans="1:8" x14ac:dyDescent="0.3">
      <c r="A157" s="17" t="s">
        <v>112</v>
      </c>
      <c r="B157" s="18"/>
      <c r="C157" s="20" t="s">
        <v>423</v>
      </c>
      <c r="D157" s="20" t="s">
        <v>427</v>
      </c>
      <c r="E157" s="19" t="s">
        <v>483</v>
      </c>
      <c r="F157" s="20" t="s">
        <v>529</v>
      </c>
      <c r="G157" s="21">
        <f>G158</f>
        <v>44314.0573</v>
      </c>
      <c r="H157" s="21">
        <f>H158</f>
        <v>44314.0573</v>
      </c>
    </row>
    <row r="158" spans="1:8" x14ac:dyDescent="0.3">
      <c r="A158" s="17" t="s">
        <v>541</v>
      </c>
      <c r="B158" s="18"/>
      <c r="C158" s="20" t="s">
        <v>423</v>
      </c>
      <c r="D158" s="20" t="s">
        <v>427</v>
      </c>
      <c r="E158" s="19" t="s">
        <v>493</v>
      </c>
      <c r="F158" s="20" t="s">
        <v>529</v>
      </c>
      <c r="G158" s="21">
        <f>G159+G161</f>
        <v>44314.0573</v>
      </c>
      <c r="H158" s="21">
        <f>H159+H161</f>
        <v>44314.0573</v>
      </c>
    </row>
    <row r="159" spans="1:8" ht="31.2" x14ac:dyDescent="0.3">
      <c r="A159" s="22" t="s">
        <v>113</v>
      </c>
      <c r="B159" s="23"/>
      <c r="C159" s="24" t="s">
        <v>423</v>
      </c>
      <c r="D159" s="24" t="s">
        <v>427</v>
      </c>
      <c r="E159" s="25" t="s">
        <v>114</v>
      </c>
      <c r="F159" s="24" t="s">
        <v>529</v>
      </c>
      <c r="G159" s="26">
        <f>G160</f>
        <v>2347.4573</v>
      </c>
      <c r="H159" s="26">
        <f>H160</f>
        <v>2347.4573</v>
      </c>
    </row>
    <row r="160" spans="1:8" x14ac:dyDescent="0.3">
      <c r="A160" s="22" t="s">
        <v>19</v>
      </c>
      <c r="B160" s="23"/>
      <c r="C160" s="24" t="s">
        <v>423</v>
      </c>
      <c r="D160" s="24" t="s">
        <v>427</v>
      </c>
      <c r="E160" s="25" t="s">
        <v>114</v>
      </c>
      <c r="F160" s="24">
        <v>800</v>
      </c>
      <c r="G160" s="26">
        <v>2347.4573</v>
      </c>
      <c r="H160" s="26">
        <v>2347.4573</v>
      </c>
    </row>
    <row r="161" spans="1:8" ht="46.8" x14ac:dyDescent="0.3">
      <c r="A161" s="22" t="s">
        <v>57</v>
      </c>
      <c r="B161" s="23"/>
      <c r="C161" s="24" t="s">
        <v>423</v>
      </c>
      <c r="D161" s="24" t="s">
        <v>427</v>
      </c>
      <c r="E161" s="25" t="s">
        <v>115</v>
      </c>
      <c r="F161" s="24" t="s">
        <v>529</v>
      </c>
      <c r="G161" s="26">
        <f>G162</f>
        <v>41966.6</v>
      </c>
      <c r="H161" s="26">
        <f>H162</f>
        <v>41966.6</v>
      </c>
    </row>
    <row r="162" spans="1:8" x14ac:dyDescent="0.3">
      <c r="A162" s="22" t="s">
        <v>19</v>
      </c>
      <c r="B162" s="23"/>
      <c r="C162" s="24" t="s">
        <v>423</v>
      </c>
      <c r="D162" s="24" t="s">
        <v>427</v>
      </c>
      <c r="E162" s="25" t="s">
        <v>115</v>
      </c>
      <c r="F162" s="24">
        <v>800</v>
      </c>
      <c r="G162" s="26">
        <v>41966.6</v>
      </c>
      <c r="H162" s="26">
        <v>41966.6</v>
      </c>
    </row>
    <row r="163" spans="1:8" x14ac:dyDescent="0.3">
      <c r="A163" s="22" t="s">
        <v>116</v>
      </c>
      <c r="B163" s="23"/>
      <c r="C163" s="24" t="s">
        <v>423</v>
      </c>
      <c r="D163" s="24" t="s">
        <v>421</v>
      </c>
      <c r="E163" s="25" t="s">
        <v>9</v>
      </c>
      <c r="F163" s="24" t="s">
        <v>529</v>
      </c>
      <c r="G163" s="26">
        <f>G164+G168</f>
        <v>19064.044439999998</v>
      </c>
      <c r="H163" s="26">
        <f>H164+H168</f>
        <v>19029.548439999999</v>
      </c>
    </row>
    <row r="164" spans="1:8" ht="78" x14ac:dyDescent="0.3">
      <c r="A164" s="17" t="s">
        <v>548</v>
      </c>
      <c r="B164" s="18"/>
      <c r="C164" s="20" t="s">
        <v>423</v>
      </c>
      <c r="D164" s="20" t="s">
        <v>421</v>
      </c>
      <c r="E164" s="19" t="s">
        <v>549</v>
      </c>
      <c r="F164" s="20" t="s">
        <v>529</v>
      </c>
      <c r="G164" s="21">
        <f>G165</f>
        <v>14564.04444</v>
      </c>
      <c r="H164" s="21">
        <f>H165</f>
        <v>14564.04444</v>
      </c>
    </row>
    <row r="165" spans="1:8" ht="93.6" x14ac:dyDescent="0.3">
      <c r="A165" s="22" t="s">
        <v>117</v>
      </c>
      <c r="B165" s="23"/>
      <c r="C165" s="24" t="s">
        <v>423</v>
      </c>
      <c r="D165" s="24" t="s">
        <v>421</v>
      </c>
      <c r="E165" s="25" t="s">
        <v>118</v>
      </c>
      <c r="F165" s="24" t="s">
        <v>529</v>
      </c>
      <c r="G165" s="26">
        <f>G166+G167</f>
        <v>14564.04444</v>
      </c>
      <c r="H165" s="26">
        <f>H166+H167</f>
        <v>14564.04444</v>
      </c>
    </row>
    <row r="166" spans="1:8" ht="31.2" x14ac:dyDescent="0.3">
      <c r="A166" s="22" t="s">
        <v>18</v>
      </c>
      <c r="B166" s="23"/>
      <c r="C166" s="24" t="s">
        <v>423</v>
      </c>
      <c r="D166" s="24" t="s">
        <v>421</v>
      </c>
      <c r="E166" s="25" t="s">
        <v>118</v>
      </c>
      <c r="F166" s="24">
        <v>200</v>
      </c>
      <c r="G166" s="26">
        <v>12396.21704</v>
      </c>
      <c r="H166" s="26">
        <v>12396.21704</v>
      </c>
    </row>
    <row r="167" spans="1:8" x14ac:dyDescent="0.3">
      <c r="A167" s="22" t="s">
        <v>19</v>
      </c>
      <c r="B167" s="23"/>
      <c r="C167" s="24" t="s">
        <v>423</v>
      </c>
      <c r="D167" s="24" t="s">
        <v>421</v>
      </c>
      <c r="E167" s="25" t="s">
        <v>118</v>
      </c>
      <c r="F167" s="24" t="s">
        <v>401</v>
      </c>
      <c r="G167" s="26">
        <v>2167.8274000000001</v>
      </c>
      <c r="H167" s="26">
        <v>2167.8274000000001</v>
      </c>
    </row>
    <row r="168" spans="1:8" x14ac:dyDescent="0.3">
      <c r="A168" s="17" t="s">
        <v>178</v>
      </c>
      <c r="B168" s="18"/>
      <c r="C168" s="20" t="s">
        <v>423</v>
      </c>
      <c r="D168" s="20" t="s">
        <v>421</v>
      </c>
      <c r="E168" s="19" t="s">
        <v>550</v>
      </c>
      <c r="F168" s="20" t="s">
        <v>529</v>
      </c>
      <c r="G168" s="21">
        <f>G169+G171</f>
        <v>4500</v>
      </c>
      <c r="H168" s="21">
        <f>H169+H171</f>
        <v>4465.5039999999999</v>
      </c>
    </row>
    <row r="169" spans="1:8" ht="46.8" x14ac:dyDescent="0.3">
      <c r="A169" s="22" t="s">
        <v>55</v>
      </c>
      <c r="B169" s="23"/>
      <c r="C169" s="24" t="s">
        <v>423</v>
      </c>
      <c r="D169" s="24" t="s">
        <v>421</v>
      </c>
      <c r="E169" s="25" t="s">
        <v>56</v>
      </c>
      <c r="F169" s="24" t="s">
        <v>529</v>
      </c>
      <c r="G169" s="26">
        <f>G170</f>
        <v>4490</v>
      </c>
      <c r="H169" s="26">
        <f>H170</f>
        <v>4455.5039999999999</v>
      </c>
    </row>
    <row r="170" spans="1:8" ht="31.2" x14ac:dyDescent="0.3">
      <c r="A170" s="22" t="s">
        <v>18</v>
      </c>
      <c r="B170" s="23"/>
      <c r="C170" s="24" t="s">
        <v>423</v>
      </c>
      <c r="D170" s="24" t="s">
        <v>421</v>
      </c>
      <c r="E170" s="25" t="s">
        <v>56</v>
      </c>
      <c r="F170" s="24">
        <v>200</v>
      </c>
      <c r="G170" s="26">
        <v>4490</v>
      </c>
      <c r="H170" s="26">
        <v>4455.5039999999999</v>
      </c>
    </row>
    <row r="171" spans="1:8" ht="78" x14ac:dyDescent="0.3">
      <c r="A171" s="22" t="s">
        <v>552</v>
      </c>
      <c r="B171" s="23"/>
      <c r="C171" s="24" t="s">
        <v>423</v>
      </c>
      <c r="D171" s="24" t="s">
        <v>421</v>
      </c>
      <c r="E171" s="25" t="s">
        <v>553</v>
      </c>
      <c r="F171" s="24" t="s">
        <v>529</v>
      </c>
      <c r="G171" s="26">
        <f>G172</f>
        <v>10</v>
      </c>
      <c r="H171" s="26">
        <f>H172</f>
        <v>10</v>
      </c>
    </row>
    <row r="172" spans="1:8" ht="31.2" x14ac:dyDescent="0.3">
      <c r="A172" s="22" t="s">
        <v>18</v>
      </c>
      <c r="B172" s="23"/>
      <c r="C172" s="24" t="s">
        <v>423</v>
      </c>
      <c r="D172" s="24" t="s">
        <v>421</v>
      </c>
      <c r="E172" s="25" t="s">
        <v>551</v>
      </c>
      <c r="F172" s="24" t="s">
        <v>394</v>
      </c>
      <c r="G172" s="26">
        <v>10</v>
      </c>
      <c r="H172" s="26">
        <v>10</v>
      </c>
    </row>
    <row r="173" spans="1:8" ht="46.8" x14ac:dyDescent="0.3">
      <c r="A173" s="17" t="s">
        <v>555</v>
      </c>
      <c r="B173" s="18"/>
      <c r="C173" s="20" t="s">
        <v>423</v>
      </c>
      <c r="D173" s="20" t="s">
        <v>423</v>
      </c>
      <c r="E173" s="19" t="s">
        <v>9</v>
      </c>
      <c r="F173" s="20" t="s">
        <v>529</v>
      </c>
      <c r="G173" s="21">
        <f>G174+G178</f>
        <v>56863.731079999998</v>
      </c>
      <c r="H173" s="21">
        <f>H174+H178</f>
        <v>56862.514950000004</v>
      </c>
    </row>
    <row r="174" spans="1:8" ht="109.2" x14ac:dyDescent="0.3">
      <c r="A174" s="17" t="s">
        <v>554</v>
      </c>
      <c r="B174" s="18"/>
      <c r="C174" s="20" t="s">
        <v>423</v>
      </c>
      <c r="D174" s="20" t="s">
        <v>423</v>
      </c>
      <c r="E174" s="19" t="s">
        <v>60</v>
      </c>
      <c r="F174" s="20" t="s">
        <v>529</v>
      </c>
      <c r="G174" s="21">
        <f>G175</f>
        <v>1121.3418100000001</v>
      </c>
      <c r="H174" s="21">
        <f>H175</f>
        <v>1120.3969099999999</v>
      </c>
    </row>
    <row r="175" spans="1:8" ht="46.8" x14ac:dyDescent="0.3">
      <c r="A175" s="22" t="s">
        <v>119</v>
      </c>
      <c r="B175" s="23"/>
      <c r="C175" s="24" t="s">
        <v>423</v>
      </c>
      <c r="D175" s="24" t="s">
        <v>423</v>
      </c>
      <c r="E175" s="25" t="s">
        <v>64</v>
      </c>
      <c r="F175" s="24" t="s">
        <v>529</v>
      </c>
      <c r="G175" s="26">
        <f>G176+G177</f>
        <v>1121.3418100000001</v>
      </c>
      <c r="H175" s="26">
        <f>H176+H177</f>
        <v>1120.3969099999999</v>
      </c>
    </row>
    <row r="176" spans="1:8" ht="78" x14ac:dyDescent="0.3">
      <c r="A176" s="22" t="s">
        <v>120</v>
      </c>
      <c r="B176" s="23"/>
      <c r="C176" s="24" t="s">
        <v>423</v>
      </c>
      <c r="D176" s="24" t="s">
        <v>423</v>
      </c>
      <c r="E176" s="25" t="s">
        <v>67</v>
      </c>
      <c r="F176" s="24">
        <v>100</v>
      </c>
      <c r="G176" s="26">
        <f>840.68335+251.59546</f>
        <v>1092.27881</v>
      </c>
      <c r="H176" s="26">
        <f>840.68335+251.59546</f>
        <v>1092.27881</v>
      </c>
    </row>
    <row r="177" spans="1:8" ht="31.2" x14ac:dyDescent="0.3">
      <c r="A177" s="22" t="s">
        <v>18</v>
      </c>
      <c r="B177" s="23"/>
      <c r="C177" s="24" t="s">
        <v>423</v>
      </c>
      <c r="D177" s="24" t="s">
        <v>423</v>
      </c>
      <c r="E177" s="25" t="s">
        <v>67</v>
      </c>
      <c r="F177" s="24">
        <v>200</v>
      </c>
      <c r="G177" s="26">
        <f>24.57+4.493</f>
        <v>29.063000000000002</v>
      </c>
      <c r="H177" s="26">
        <f>23.6251+4.493</f>
        <v>28.118099999999998</v>
      </c>
    </row>
    <row r="178" spans="1:8" x14ac:dyDescent="0.3">
      <c r="A178" s="17" t="s">
        <v>556</v>
      </c>
      <c r="B178" s="18"/>
      <c r="C178" s="20" t="s">
        <v>423</v>
      </c>
      <c r="D178" s="20" t="s">
        <v>423</v>
      </c>
      <c r="E178" s="19" t="s">
        <v>23</v>
      </c>
      <c r="F178" s="20" t="s">
        <v>529</v>
      </c>
      <c r="G178" s="21">
        <f>G179+G181+G183</f>
        <v>55742.38927</v>
      </c>
      <c r="H178" s="21">
        <f>H179+H181+H183</f>
        <v>55742.118040000001</v>
      </c>
    </row>
    <row r="179" spans="1:8" ht="62.4" x14ac:dyDescent="0.3">
      <c r="A179" s="22" t="s">
        <v>121</v>
      </c>
      <c r="B179" s="23"/>
      <c r="C179" s="24" t="s">
        <v>423</v>
      </c>
      <c r="D179" s="24" t="s">
        <v>423</v>
      </c>
      <c r="E179" s="25" t="s">
        <v>484</v>
      </c>
      <c r="F179" s="24" t="s">
        <v>529</v>
      </c>
      <c r="G179" s="26">
        <f>G180</f>
        <v>10734.58927</v>
      </c>
      <c r="H179" s="26">
        <f>H180</f>
        <v>10734.31804</v>
      </c>
    </row>
    <row r="180" spans="1:8" ht="62.4" x14ac:dyDescent="0.3">
      <c r="A180" s="22" t="s">
        <v>122</v>
      </c>
      <c r="B180" s="23"/>
      <c r="C180" s="24" t="s">
        <v>423</v>
      </c>
      <c r="D180" s="24" t="s">
        <v>423</v>
      </c>
      <c r="E180" s="25" t="s">
        <v>484</v>
      </c>
      <c r="F180" s="24">
        <v>400</v>
      </c>
      <c r="G180" s="26">
        <v>10734.58927</v>
      </c>
      <c r="H180" s="26">
        <v>10734.31804</v>
      </c>
    </row>
    <row r="181" spans="1:8" ht="140.4" x14ac:dyDescent="0.3">
      <c r="A181" s="22" t="s">
        <v>123</v>
      </c>
      <c r="B181" s="23"/>
      <c r="C181" s="24" t="s">
        <v>423</v>
      </c>
      <c r="D181" s="24" t="s">
        <v>423</v>
      </c>
      <c r="E181" s="25" t="s">
        <v>485</v>
      </c>
      <c r="F181" s="24" t="s">
        <v>529</v>
      </c>
      <c r="G181" s="26">
        <f>G182</f>
        <v>7.8</v>
      </c>
      <c r="H181" s="26">
        <f>H182</f>
        <v>7.8</v>
      </c>
    </row>
    <row r="182" spans="1:8" ht="31.2" x14ac:dyDescent="0.3">
      <c r="A182" s="22" t="s">
        <v>18</v>
      </c>
      <c r="B182" s="23"/>
      <c r="C182" s="24" t="s">
        <v>423</v>
      </c>
      <c r="D182" s="24" t="s">
        <v>423</v>
      </c>
      <c r="E182" s="25" t="s">
        <v>486</v>
      </c>
      <c r="F182" s="24">
        <v>200</v>
      </c>
      <c r="G182" s="26">
        <v>7.8</v>
      </c>
      <c r="H182" s="26">
        <v>7.8</v>
      </c>
    </row>
    <row r="183" spans="1:8" ht="171.6" x14ac:dyDescent="0.3">
      <c r="A183" s="22" t="s">
        <v>124</v>
      </c>
      <c r="B183" s="23"/>
      <c r="C183" s="24" t="s">
        <v>423</v>
      </c>
      <c r="D183" s="24" t="s">
        <v>423</v>
      </c>
      <c r="E183" s="25" t="s">
        <v>487</v>
      </c>
      <c r="F183" s="24" t="s">
        <v>529</v>
      </c>
      <c r="G183" s="26">
        <f>G184</f>
        <v>45000</v>
      </c>
      <c r="H183" s="26">
        <f>H184</f>
        <v>45000</v>
      </c>
    </row>
    <row r="184" spans="1:8" ht="62.4" x14ac:dyDescent="0.3">
      <c r="A184" s="22" t="s">
        <v>51</v>
      </c>
      <c r="B184" s="23"/>
      <c r="C184" s="24" t="s">
        <v>423</v>
      </c>
      <c r="D184" s="24" t="s">
        <v>423</v>
      </c>
      <c r="E184" s="25" t="s">
        <v>487</v>
      </c>
      <c r="F184" s="24">
        <v>600</v>
      </c>
      <c r="G184" s="26">
        <v>45000</v>
      </c>
      <c r="H184" s="26">
        <v>45000</v>
      </c>
    </row>
    <row r="185" spans="1:8" x14ac:dyDescent="0.3">
      <c r="A185" s="17" t="s">
        <v>125</v>
      </c>
      <c r="B185" s="18"/>
      <c r="C185" s="20" t="s">
        <v>424</v>
      </c>
      <c r="D185" s="20"/>
      <c r="E185" s="19"/>
      <c r="F185" s="20"/>
      <c r="G185" s="21">
        <f>G186</f>
        <v>12545.07548</v>
      </c>
      <c r="H185" s="21">
        <f>H186</f>
        <v>7113.2025199999998</v>
      </c>
    </row>
    <row r="186" spans="1:8" x14ac:dyDescent="0.3">
      <c r="A186" s="17" t="s">
        <v>557</v>
      </c>
      <c r="B186" s="18"/>
      <c r="C186" s="20" t="s">
        <v>424</v>
      </c>
      <c r="D186" s="20" t="s">
        <v>427</v>
      </c>
      <c r="E186" s="19" t="s">
        <v>23</v>
      </c>
      <c r="F186" s="20" t="s">
        <v>529</v>
      </c>
      <c r="G186" s="21">
        <f>G187+G189+G191+G193</f>
        <v>12545.07548</v>
      </c>
      <c r="H186" s="21">
        <f>H187+H189+H191+H193</f>
        <v>7113.2025199999998</v>
      </c>
    </row>
    <row r="187" spans="1:8" ht="31.2" x14ac:dyDescent="0.3">
      <c r="A187" s="22" t="s">
        <v>126</v>
      </c>
      <c r="B187" s="23"/>
      <c r="C187" s="24" t="s">
        <v>424</v>
      </c>
      <c r="D187" s="24" t="s">
        <v>427</v>
      </c>
      <c r="E187" s="25" t="s">
        <v>488</v>
      </c>
      <c r="F187" s="24" t="s">
        <v>529</v>
      </c>
      <c r="G187" s="26">
        <f>G188</f>
        <v>11995.07548</v>
      </c>
      <c r="H187" s="26">
        <f>H188</f>
        <v>6563.81412</v>
      </c>
    </row>
    <row r="188" spans="1:8" ht="62.4" x14ac:dyDescent="0.3">
      <c r="A188" s="22" t="s">
        <v>122</v>
      </c>
      <c r="B188" s="23"/>
      <c r="C188" s="24" t="s">
        <v>424</v>
      </c>
      <c r="D188" s="24" t="s">
        <v>427</v>
      </c>
      <c r="E188" s="25" t="s">
        <v>488</v>
      </c>
      <c r="F188" s="24">
        <v>400</v>
      </c>
      <c r="G188" s="26">
        <v>11995.07548</v>
      </c>
      <c r="H188" s="26">
        <v>6563.81412</v>
      </c>
    </row>
    <row r="189" spans="1:8" ht="46.8" x14ac:dyDescent="0.3">
      <c r="A189" s="22" t="s">
        <v>127</v>
      </c>
      <c r="B189" s="23"/>
      <c r="C189" s="24" t="s">
        <v>424</v>
      </c>
      <c r="D189" s="24" t="s">
        <v>427</v>
      </c>
      <c r="E189" s="25" t="s">
        <v>56</v>
      </c>
      <c r="F189" s="24" t="s">
        <v>529</v>
      </c>
      <c r="G189" s="26">
        <f>G190</f>
        <v>25.88</v>
      </c>
      <c r="H189" s="26">
        <f>H190</f>
        <v>25.2684</v>
      </c>
    </row>
    <row r="190" spans="1:8" ht="31.2" x14ac:dyDescent="0.3">
      <c r="A190" s="22" t="s">
        <v>18</v>
      </c>
      <c r="B190" s="23"/>
      <c r="C190" s="24" t="s">
        <v>424</v>
      </c>
      <c r="D190" s="24" t="s">
        <v>427</v>
      </c>
      <c r="E190" s="25" t="s">
        <v>56</v>
      </c>
      <c r="F190" s="24">
        <v>200</v>
      </c>
      <c r="G190" s="26">
        <v>25.88</v>
      </c>
      <c r="H190" s="26">
        <v>25.2684</v>
      </c>
    </row>
    <row r="191" spans="1:8" ht="46.8" x14ac:dyDescent="0.3">
      <c r="A191" s="22" t="s">
        <v>489</v>
      </c>
      <c r="B191" s="23"/>
      <c r="C191" s="24" t="s">
        <v>424</v>
      </c>
      <c r="D191" s="24" t="s">
        <v>427</v>
      </c>
      <c r="E191" s="25" t="s">
        <v>128</v>
      </c>
      <c r="F191" s="24" t="s">
        <v>529</v>
      </c>
      <c r="G191" s="26">
        <f>G192</f>
        <v>337</v>
      </c>
      <c r="H191" s="26">
        <f>H192</f>
        <v>337</v>
      </c>
    </row>
    <row r="192" spans="1:8" ht="31.2" x14ac:dyDescent="0.3">
      <c r="A192" s="22" t="s">
        <v>18</v>
      </c>
      <c r="B192" s="23"/>
      <c r="C192" s="24" t="s">
        <v>424</v>
      </c>
      <c r="D192" s="24" t="s">
        <v>427</v>
      </c>
      <c r="E192" s="25" t="s">
        <v>128</v>
      </c>
      <c r="F192" s="24">
        <v>200</v>
      </c>
      <c r="G192" s="26">
        <v>337</v>
      </c>
      <c r="H192" s="26">
        <v>337</v>
      </c>
    </row>
    <row r="193" spans="1:8" ht="46.8" x14ac:dyDescent="0.3">
      <c r="A193" s="22" t="s">
        <v>53</v>
      </c>
      <c r="B193" s="23"/>
      <c r="C193" s="24" t="s">
        <v>424</v>
      </c>
      <c r="D193" s="24" t="s">
        <v>427</v>
      </c>
      <c r="E193" s="25" t="s">
        <v>54</v>
      </c>
      <c r="F193" s="24" t="s">
        <v>529</v>
      </c>
      <c r="G193" s="26">
        <f>G194</f>
        <v>187.12</v>
      </c>
      <c r="H193" s="26">
        <f>H194</f>
        <v>187.12</v>
      </c>
    </row>
    <row r="194" spans="1:8" ht="31.2" x14ac:dyDescent="0.3">
      <c r="A194" s="22" t="s">
        <v>18</v>
      </c>
      <c r="B194" s="23"/>
      <c r="C194" s="24" t="s">
        <v>424</v>
      </c>
      <c r="D194" s="24" t="s">
        <v>427</v>
      </c>
      <c r="E194" s="25" t="s">
        <v>54</v>
      </c>
      <c r="F194" s="24">
        <v>200</v>
      </c>
      <c r="G194" s="26">
        <v>187.12</v>
      </c>
      <c r="H194" s="26">
        <v>187.12</v>
      </c>
    </row>
    <row r="195" spans="1:8" x14ac:dyDescent="0.3">
      <c r="A195" s="17" t="s">
        <v>129</v>
      </c>
      <c r="B195" s="18"/>
      <c r="C195" s="20" t="s">
        <v>425</v>
      </c>
      <c r="D195" s="20"/>
      <c r="E195" s="19"/>
      <c r="F195" s="20"/>
      <c r="G195" s="21">
        <f>G196+G207+G214</f>
        <v>247168.1881</v>
      </c>
      <c r="H195" s="21">
        <f>H196+H207+H214</f>
        <v>245306.08916</v>
      </c>
    </row>
    <row r="196" spans="1:8" ht="93.6" x14ac:dyDescent="0.3">
      <c r="A196" s="17" t="s">
        <v>559</v>
      </c>
      <c r="B196" s="18"/>
      <c r="C196" s="20" t="s">
        <v>425</v>
      </c>
      <c r="D196" s="20" t="s">
        <v>427</v>
      </c>
      <c r="E196" s="19" t="s">
        <v>9</v>
      </c>
      <c r="F196" s="20" t="s">
        <v>529</v>
      </c>
      <c r="G196" s="21">
        <f>G197</f>
        <v>239234.53810000001</v>
      </c>
      <c r="H196" s="21">
        <f>H197</f>
        <v>237372.43916000001</v>
      </c>
    </row>
    <row r="197" spans="1:8" x14ac:dyDescent="0.3">
      <c r="A197" s="22" t="s">
        <v>130</v>
      </c>
      <c r="B197" s="23"/>
      <c r="C197" s="24" t="s">
        <v>425</v>
      </c>
      <c r="D197" s="24" t="s">
        <v>427</v>
      </c>
      <c r="E197" s="25" t="s">
        <v>558</v>
      </c>
      <c r="F197" s="24" t="s">
        <v>529</v>
      </c>
      <c r="G197" s="26">
        <f>G198+G200+G202+G205</f>
        <v>239234.53810000001</v>
      </c>
      <c r="H197" s="26">
        <f>H198+H200+H202+H205</f>
        <v>237372.43916000001</v>
      </c>
    </row>
    <row r="198" spans="1:8" ht="46.8" x14ac:dyDescent="0.3">
      <c r="A198" s="22" t="s">
        <v>490</v>
      </c>
      <c r="B198" s="23"/>
      <c r="C198" s="24" t="s">
        <v>425</v>
      </c>
      <c r="D198" s="24" t="s">
        <v>427</v>
      </c>
      <c r="E198" s="25" t="s">
        <v>131</v>
      </c>
      <c r="F198" s="24" t="s">
        <v>529</v>
      </c>
      <c r="G198" s="26">
        <f>G199</f>
        <v>9178.9539999999997</v>
      </c>
      <c r="H198" s="26">
        <f>H199</f>
        <v>9108.7133799999992</v>
      </c>
    </row>
    <row r="199" spans="1:8" ht="62.4" x14ac:dyDescent="0.3">
      <c r="A199" s="22" t="s">
        <v>122</v>
      </c>
      <c r="B199" s="23"/>
      <c r="C199" s="24" t="s">
        <v>425</v>
      </c>
      <c r="D199" s="24" t="s">
        <v>427</v>
      </c>
      <c r="E199" s="25" t="s">
        <v>131</v>
      </c>
      <c r="F199" s="24">
        <v>400</v>
      </c>
      <c r="G199" s="26">
        <v>9178.9539999999997</v>
      </c>
      <c r="H199" s="26">
        <v>9108.7133799999992</v>
      </c>
    </row>
    <row r="200" spans="1:8" ht="62.4" x14ac:dyDescent="0.3">
      <c r="A200" s="22" t="s">
        <v>132</v>
      </c>
      <c r="B200" s="23"/>
      <c r="C200" s="24" t="s">
        <v>425</v>
      </c>
      <c r="D200" s="24" t="s">
        <v>427</v>
      </c>
      <c r="E200" s="25" t="s">
        <v>133</v>
      </c>
      <c r="F200" s="24" t="s">
        <v>529</v>
      </c>
      <c r="G200" s="26">
        <f>G201</f>
        <v>229341.74900000001</v>
      </c>
      <c r="H200" s="26">
        <f>H201</f>
        <v>227580.48215</v>
      </c>
    </row>
    <row r="201" spans="1:8" ht="62.4" x14ac:dyDescent="0.3">
      <c r="A201" s="22" t="s">
        <v>122</v>
      </c>
      <c r="B201" s="23"/>
      <c r="C201" s="24" t="s">
        <v>425</v>
      </c>
      <c r="D201" s="24" t="s">
        <v>427</v>
      </c>
      <c r="E201" s="25" t="s">
        <v>133</v>
      </c>
      <c r="F201" s="24">
        <v>400</v>
      </c>
      <c r="G201" s="26">
        <v>229341.74900000001</v>
      </c>
      <c r="H201" s="26">
        <v>227580.48215</v>
      </c>
    </row>
    <row r="202" spans="1:8" ht="46.8" x14ac:dyDescent="0.3">
      <c r="A202" s="22" t="s">
        <v>53</v>
      </c>
      <c r="B202" s="23"/>
      <c r="C202" s="24" t="s">
        <v>425</v>
      </c>
      <c r="D202" s="24" t="s">
        <v>427</v>
      </c>
      <c r="E202" s="25" t="s">
        <v>54</v>
      </c>
      <c r="F202" s="24" t="s">
        <v>529</v>
      </c>
      <c r="G202" s="26">
        <f>G204+G203</f>
        <v>713.83510000000001</v>
      </c>
      <c r="H202" s="26">
        <f>H204+H203</f>
        <v>683.24362999999994</v>
      </c>
    </row>
    <row r="203" spans="1:8" ht="31.2" x14ac:dyDescent="0.3">
      <c r="A203" s="22" t="s">
        <v>18</v>
      </c>
      <c r="B203" s="23"/>
      <c r="C203" s="24" t="s">
        <v>425</v>
      </c>
      <c r="D203" s="24" t="s">
        <v>421</v>
      </c>
      <c r="E203" s="25" t="s">
        <v>54</v>
      </c>
      <c r="F203" s="24" t="s">
        <v>394</v>
      </c>
      <c r="G203" s="26">
        <v>400</v>
      </c>
      <c r="H203" s="26">
        <v>369.40852999999998</v>
      </c>
    </row>
    <row r="204" spans="1:8" ht="62.4" x14ac:dyDescent="0.3">
      <c r="A204" s="22" t="s">
        <v>122</v>
      </c>
      <c r="B204" s="23"/>
      <c r="C204" s="24" t="s">
        <v>425</v>
      </c>
      <c r="D204" s="24" t="s">
        <v>427</v>
      </c>
      <c r="E204" s="25" t="s">
        <v>54</v>
      </c>
      <c r="F204" s="24">
        <v>400</v>
      </c>
      <c r="G204" s="26">
        <v>313.83510000000001</v>
      </c>
      <c r="H204" s="26">
        <v>313.83510000000001</v>
      </c>
    </row>
    <row r="205" spans="1:8" ht="46.8" x14ac:dyDescent="0.3">
      <c r="A205" s="22" t="s">
        <v>134</v>
      </c>
      <c r="B205" s="23"/>
      <c r="C205" s="24" t="s">
        <v>425</v>
      </c>
      <c r="D205" s="24" t="s">
        <v>427</v>
      </c>
      <c r="E205" s="25" t="s">
        <v>491</v>
      </c>
      <c r="F205" s="24" t="s">
        <v>529</v>
      </c>
      <c r="G205" s="26">
        <f>G206</f>
        <v>0</v>
      </c>
      <c r="H205" s="26">
        <f>H206</f>
        <v>0</v>
      </c>
    </row>
    <row r="206" spans="1:8" ht="31.2" x14ac:dyDescent="0.3">
      <c r="A206" s="22" t="s">
        <v>18</v>
      </c>
      <c r="B206" s="23"/>
      <c r="C206" s="24" t="s">
        <v>425</v>
      </c>
      <c r="D206" s="24" t="s">
        <v>427</v>
      </c>
      <c r="E206" s="25" t="s">
        <v>491</v>
      </c>
      <c r="F206" s="24">
        <v>200</v>
      </c>
      <c r="G206" s="26">
        <v>0</v>
      </c>
      <c r="H206" s="26">
        <v>0</v>
      </c>
    </row>
    <row r="207" spans="1:8" ht="31.2" x14ac:dyDescent="0.3">
      <c r="A207" s="17" t="s">
        <v>135</v>
      </c>
      <c r="B207" s="18"/>
      <c r="C207" s="20" t="s">
        <v>425</v>
      </c>
      <c r="D207" s="20" t="s">
        <v>421</v>
      </c>
      <c r="E207" s="19" t="s">
        <v>9</v>
      </c>
      <c r="F207" s="20" t="s">
        <v>529</v>
      </c>
      <c r="G207" s="21">
        <f>G208+G211</f>
        <v>7933.65</v>
      </c>
      <c r="H207" s="21">
        <f>H208+H211</f>
        <v>7933.65</v>
      </c>
    </row>
    <row r="208" spans="1:8" ht="93.6" x14ac:dyDescent="0.3">
      <c r="A208" s="17" t="s">
        <v>559</v>
      </c>
      <c r="B208" s="18"/>
      <c r="C208" s="20" t="s">
        <v>425</v>
      </c>
      <c r="D208" s="20" t="s">
        <v>421</v>
      </c>
      <c r="E208" s="19" t="s">
        <v>558</v>
      </c>
      <c r="F208" s="20" t="s">
        <v>529</v>
      </c>
      <c r="G208" s="21">
        <f>G209</f>
        <v>2011.5567799999999</v>
      </c>
      <c r="H208" s="21">
        <f>H209</f>
        <v>2011.5567799999999</v>
      </c>
    </row>
    <row r="209" spans="1:11" ht="78" x14ac:dyDescent="0.3">
      <c r="A209" s="22" t="s">
        <v>138</v>
      </c>
      <c r="B209" s="23"/>
      <c r="C209" s="24" t="s">
        <v>425</v>
      </c>
      <c r="D209" s="24" t="s">
        <v>421</v>
      </c>
      <c r="E209" s="25" t="s">
        <v>139</v>
      </c>
      <c r="F209" s="24" t="s">
        <v>529</v>
      </c>
      <c r="G209" s="26">
        <f>G210</f>
        <v>2011.5567799999999</v>
      </c>
      <c r="H209" s="26">
        <f>H210</f>
        <v>2011.5567799999999</v>
      </c>
    </row>
    <row r="210" spans="1:11" ht="62.4" x14ac:dyDescent="0.3">
      <c r="A210" s="22" t="s">
        <v>51</v>
      </c>
      <c r="B210" s="23"/>
      <c r="C210" s="24" t="s">
        <v>425</v>
      </c>
      <c r="D210" s="24" t="s">
        <v>421</v>
      </c>
      <c r="E210" s="25" t="s">
        <v>139</v>
      </c>
      <c r="F210" s="24" t="s">
        <v>402</v>
      </c>
      <c r="G210" s="26">
        <v>2011.5567799999999</v>
      </c>
      <c r="H210" s="26">
        <v>2011.5567799999999</v>
      </c>
    </row>
    <row r="211" spans="1:11" ht="78" x14ac:dyDescent="0.3">
      <c r="A211" s="17" t="s">
        <v>560</v>
      </c>
      <c r="B211" s="18"/>
      <c r="C211" s="20" t="s">
        <v>425</v>
      </c>
      <c r="D211" s="20" t="s">
        <v>421</v>
      </c>
      <c r="E211" s="19" t="s">
        <v>561</v>
      </c>
      <c r="F211" s="20" t="s">
        <v>529</v>
      </c>
      <c r="G211" s="21">
        <f>G212</f>
        <v>5922.0932199999997</v>
      </c>
      <c r="H211" s="21">
        <f>H212</f>
        <v>5922.0932199999997</v>
      </c>
    </row>
    <row r="212" spans="1:11" ht="62.4" x14ac:dyDescent="0.3">
      <c r="A212" s="22" t="s">
        <v>136</v>
      </c>
      <c r="B212" s="23"/>
      <c r="C212" s="24" t="s">
        <v>425</v>
      </c>
      <c r="D212" s="24" t="s">
        <v>421</v>
      </c>
      <c r="E212" s="25" t="s">
        <v>137</v>
      </c>
      <c r="F212" s="24" t="s">
        <v>529</v>
      </c>
      <c r="G212" s="26">
        <f>G213</f>
        <v>5922.0932199999997</v>
      </c>
      <c r="H212" s="26">
        <f>H213</f>
        <v>5922.0932199999997</v>
      </c>
    </row>
    <row r="213" spans="1:11" ht="62.4" x14ac:dyDescent="0.3">
      <c r="A213" s="22" t="s">
        <v>51</v>
      </c>
      <c r="B213" s="23"/>
      <c r="C213" s="24" t="s">
        <v>425</v>
      </c>
      <c r="D213" s="24" t="s">
        <v>421</v>
      </c>
      <c r="E213" s="25" t="s">
        <v>137</v>
      </c>
      <c r="F213" s="24">
        <v>600</v>
      </c>
      <c r="G213" s="26">
        <v>5922.0932199999997</v>
      </c>
      <c r="H213" s="26">
        <v>5922.0932199999997</v>
      </c>
    </row>
    <row r="214" spans="1:11" x14ac:dyDescent="0.3">
      <c r="A214" s="17" t="s">
        <v>233</v>
      </c>
      <c r="B214" s="18"/>
      <c r="C214" s="20" t="s">
        <v>425</v>
      </c>
      <c r="D214" s="20" t="s">
        <v>425</v>
      </c>
      <c r="E214" s="19" t="s">
        <v>9</v>
      </c>
      <c r="F214" s="20" t="s">
        <v>529</v>
      </c>
      <c r="G214" s="21">
        <f t="shared" ref="G214:H216" si="1">G215</f>
        <v>0</v>
      </c>
      <c r="H214" s="21">
        <f t="shared" si="1"/>
        <v>0</v>
      </c>
    </row>
    <row r="215" spans="1:11" ht="93.6" x14ac:dyDescent="0.3">
      <c r="A215" s="17" t="s">
        <v>559</v>
      </c>
      <c r="B215" s="18"/>
      <c r="C215" s="20" t="s">
        <v>425</v>
      </c>
      <c r="D215" s="20" t="s">
        <v>425</v>
      </c>
      <c r="E215" s="19" t="s">
        <v>558</v>
      </c>
      <c r="F215" s="20" t="s">
        <v>529</v>
      </c>
      <c r="G215" s="21">
        <f t="shared" si="1"/>
        <v>0</v>
      </c>
      <c r="H215" s="21">
        <f t="shared" si="1"/>
        <v>0</v>
      </c>
    </row>
    <row r="216" spans="1:11" ht="31.2" x14ac:dyDescent="0.3">
      <c r="A216" s="22" t="s">
        <v>236</v>
      </c>
      <c r="B216" s="23"/>
      <c r="C216" s="24" t="s">
        <v>425</v>
      </c>
      <c r="D216" s="24" t="s">
        <v>425</v>
      </c>
      <c r="E216" s="25" t="s">
        <v>492</v>
      </c>
      <c r="F216" s="24" t="s">
        <v>529</v>
      </c>
      <c r="G216" s="26">
        <f t="shared" si="1"/>
        <v>0</v>
      </c>
      <c r="H216" s="26">
        <f t="shared" si="1"/>
        <v>0</v>
      </c>
    </row>
    <row r="217" spans="1:11" ht="62.4" x14ac:dyDescent="0.3">
      <c r="A217" s="22" t="s">
        <v>51</v>
      </c>
      <c r="B217" s="23"/>
      <c r="C217" s="24" t="s">
        <v>425</v>
      </c>
      <c r="D217" s="24" t="s">
        <v>425</v>
      </c>
      <c r="E217" s="25" t="s">
        <v>492</v>
      </c>
      <c r="F217" s="24">
        <v>600</v>
      </c>
      <c r="G217" s="26">
        <v>0</v>
      </c>
      <c r="H217" s="26">
        <v>0</v>
      </c>
    </row>
    <row r="218" spans="1:11" x14ac:dyDescent="0.3">
      <c r="A218" s="17" t="s">
        <v>140</v>
      </c>
      <c r="B218" s="18"/>
      <c r="C218" s="20" t="s">
        <v>426</v>
      </c>
      <c r="D218" s="20"/>
      <c r="E218" s="19"/>
      <c r="F218" s="20"/>
      <c r="G218" s="21">
        <f t="shared" ref="G218:H220" si="2">G219</f>
        <v>816.93984999999998</v>
      </c>
      <c r="H218" s="21">
        <f t="shared" si="2"/>
        <v>661.24600999999996</v>
      </c>
    </row>
    <row r="219" spans="1:11" ht="62.4" x14ac:dyDescent="0.3">
      <c r="A219" s="17" t="s">
        <v>228</v>
      </c>
      <c r="B219" s="18"/>
      <c r="C219" s="20" t="s">
        <v>426</v>
      </c>
      <c r="D219" s="20" t="s">
        <v>391</v>
      </c>
      <c r="E219" s="19" t="s">
        <v>501</v>
      </c>
      <c r="F219" s="20" t="s">
        <v>529</v>
      </c>
      <c r="G219" s="21">
        <f t="shared" si="2"/>
        <v>816.93984999999998</v>
      </c>
      <c r="H219" s="21">
        <f t="shared" si="2"/>
        <v>661.24600999999996</v>
      </c>
    </row>
    <row r="220" spans="1:11" ht="31.2" x14ac:dyDescent="0.3">
      <c r="A220" s="22" t="s">
        <v>141</v>
      </c>
      <c r="B220" s="23"/>
      <c r="C220" s="24" t="s">
        <v>426</v>
      </c>
      <c r="D220" s="24" t="s">
        <v>391</v>
      </c>
      <c r="E220" s="25" t="s">
        <v>142</v>
      </c>
      <c r="F220" s="24" t="s">
        <v>529</v>
      </c>
      <c r="G220" s="26">
        <f t="shared" si="2"/>
        <v>816.93984999999998</v>
      </c>
      <c r="H220" s="26">
        <f t="shared" si="2"/>
        <v>661.24600999999996</v>
      </c>
    </row>
    <row r="221" spans="1:11" ht="31.2" x14ac:dyDescent="0.3">
      <c r="A221" s="22" t="s">
        <v>18</v>
      </c>
      <c r="B221" s="23"/>
      <c r="C221" s="24" t="s">
        <v>426</v>
      </c>
      <c r="D221" s="24" t="s">
        <v>391</v>
      </c>
      <c r="E221" s="25" t="s">
        <v>142</v>
      </c>
      <c r="F221" s="24">
        <v>200</v>
      </c>
      <c r="G221" s="26">
        <v>816.93984999999998</v>
      </c>
      <c r="H221" s="26">
        <v>661.24600999999996</v>
      </c>
    </row>
    <row r="222" spans="1:11" x14ac:dyDescent="0.3">
      <c r="A222" s="17" t="s">
        <v>143</v>
      </c>
      <c r="B222" s="18"/>
      <c r="C222" s="20">
        <v>10</v>
      </c>
      <c r="D222" s="20"/>
      <c r="E222" s="19"/>
      <c r="F222" s="20"/>
      <c r="G222" s="21">
        <f>G223+G227+G241</f>
        <v>25476.522600000004</v>
      </c>
      <c r="H222" s="21">
        <f>H223+H227+H241</f>
        <v>25449.140719999996</v>
      </c>
    </row>
    <row r="223" spans="1:11" x14ac:dyDescent="0.3">
      <c r="A223" s="17" t="s">
        <v>144</v>
      </c>
      <c r="B223" s="18"/>
      <c r="C223" s="20" t="s">
        <v>400</v>
      </c>
      <c r="D223" s="20" t="s">
        <v>391</v>
      </c>
      <c r="E223" s="19" t="s">
        <v>9</v>
      </c>
      <c r="F223" s="20" t="s">
        <v>529</v>
      </c>
      <c r="G223" s="21">
        <f t="shared" ref="G223:H225" si="3">G224</f>
        <v>5273.8727699999999</v>
      </c>
      <c r="H223" s="21">
        <f t="shared" si="3"/>
        <v>5273.8727699999999</v>
      </c>
    </row>
    <row r="224" spans="1:11" ht="62.4" x14ac:dyDescent="0.3">
      <c r="A224" s="17" t="s">
        <v>562</v>
      </c>
      <c r="B224" s="18"/>
      <c r="C224" s="20">
        <v>10</v>
      </c>
      <c r="D224" s="20" t="s">
        <v>391</v>
      </c>
      <c r="E224" s="19" t="s">
        <v>145</v>
      </c>
      <c r="F224" s="20" t="s">
        <v>529</v>
      </c>
      <c r="G224" s="21">
        <f t="shared" si="3"/>
        <v>5273.8727699999999</v>
      </c>
      <c r="H224" s="21">
        <f t="shared" si="3"/>
        <v>5273.8727699999999</v>
      </c>
      <c r="K224" s="1">
        <v>2</v>
      </c>
    </row>
    <row r="225" spans="1:8" ht="46.8" x14ac:dyDescent="0.3">
      <c r="A225" s="22" t="s">
        <v>146</v>
      </c>
      <c r="B225" s="23"/>
      <c r="C225" s="24">
        <v>10</v>
      </c>
      <c r="D225" s="24" t="s">
        <v>391</v>
      </c>
      <c r="E225" s="25" t="s">
        <v>147</v>
      </c>
      <c r="F225" s="24" t="s">
        <v>529</v>
      </c>
      <c r="G225" s="26">
        <f t="shared" si="3"/>
        <v>5273.8727699999999</v>
      </c>
      <c r="H225" s="26">
        <f t="shared" si="3"/>
        <v>5273.8727699999999</v>
      </c>
    </row>
    <row r="226" spans="1:8" ht="31.2" x14ac:dyDescent="0.3">
      <c r="A226" s="22" t="s">
        <v>148</v>
      </c>
      <c r="B226" s="23"/>
      <c r="C226" s="24">
        <v>10</v>
      </c>
      <c r="D226" s="24" t="s">
        <v>391</v>
      </c>
      <c r="E226" s="25" t="s">
        <v>147</v>
      </c>
      <c r="F226" s="24" t="s">
        <v>431</v>
      </c>
      <c r="G226" s="26">
        <v>5273.8727699999999</v>
      </c>
      <c r="H226" s="26">
        <v>5273.8727699999999</v>
      </c>
    </row>
    <row r="227" spans="1:8" ht="31.2" x14ac:dyDescent="0.3">
      <c r="A227" s="17" t="s">
        <v>149</v>
      </c>
      <c r="B227" s="18"/>
      <c r="C227" s="20">
        <v>10</v>
      </c>
      <c r="D227" s="20" t="s">
        <v>421</v>
      </c>
      <c r="E227" s="19" t="s">
        <v>9</v>
      </c>
      <c r="F227" s="20" t="s">
        <v>529</v>
      </c>
      <c r="G227" s="21">
        <f>G228+G231+G234</f>
        <v>2998.1598300000001</v>
      </c>
      <c r="H227" s="21">
        <f>H228+H231+H234</f>
        <v>2997.8119499999998</v>
      </c>
    </row>
    <row r="228" spans="1:8" ht="93.6" x14ac:dyDescent="0.3">
      <c r="A228" s="17" t="s">
        <v>150</v>
      </c>
      <c r="B228" s="18"/>
      <c r="C228" s="20">
        <v>10</v>
      </c>
      <c r="D228" s="20" t="s">
        <v>421</v>
      </c>
      <c r="E228" s="19" t="s">
        <v>151</v>
      </c>
      <c r="F228" s="20" t="s">
        <v>529</v>
      </c>
      <c r="G228" s="21">
        <f>G229</f>
        <v>217.96799999999999</v>
      </c>
      <c r="H228" s="21">
        <f>H229</f>
        <v>217.62011999999999</v>
      </c>
    </row>
    <row r="229" spans="1:8" ht="62.4" x14ac:dyDescent="0.3">
      <c r="A229" s="22" t="s">
        <v>152</v>
      </c>
      <c r="B229" s="23"/>
      <c r="C229" s="24">
        <v>10</v>
      </c>
      <c r="D229" s="24" t="s">
        <v>421</v>
      </c>
      <c r="E229" s="25" t="s">
        <v>153</v>
      </c>
      <c r="F229" s="24" t="s">
        <v>529</v>
      </c>
      <c r="G229" s="26">
        <f>G230</f>
        <v>217.96799999999999</v>
      </c>
      <c r="H229" s="26">
        <f>H230</f>
        <v>217.62011999999999</v>
      </c>
    </row>
    <row r="230" spans="1:8" ht="31.2" x14ac:dyDescent="0.3">
      <c r="A230" s="22" t="s">
        <v>148</v>
      </c>
      <c r="B230" s="23"/>
      <c r="C230" s="24">
        <v>10</v>
      </c>
      <c r="D230" s="24" t="s">
        <v>421</v>
      </c>
      <c r="E230" s="25" t="s">
        <v>153</v>
      </c>
      <c r="F230" s="24">
        <v>300</v>
      </c>
      <c r="G230" s="26">
        <v>217.96799999999999</v>
      </c>
      <c r="H230" s="26">
        <v>217.62011999999999</v>
      </c>
    </row>
    <row r="231" spans="1:8" ht="78" x14ac:dyDescent="0.3">
      <c r="A231" s="17" t="s">
        <v>154</v>
      </c>
      <c r="B231" s="18"/>
      <c r="C231" s="20">
        <v>10</v>
      </c>
      <c r="D231" s="20" t="s">
        <v>421</v>
      </c>
      <c r="E231" s="19" t="s">
        <v>155</v>
      </c>
      <c r="F231" s="20" t="s">
        <v>529</v>
      </c>
      <c r="G231" s="21">
        <f>G232</f>
        <v>5.5158300000000002</v>
      </c>
      <c r="H231" s="21">
        <f>H232</f>
        <v>5.5158300000000002</v>
      </c>
    </row>
    <row r="232" spans="1:8" ht="62.4" x14ac:dyDescent="0.3">
      <c r="A232" s="22" t="s">
        <v>156</v>
      </c>
      <c r="B232" s="23"/>
      <c r="C232" s="24">
        <v>10</v>
      </c>
      <c r="D232" s="24" t="s">
        <v>421</v>
      </c>
      <c r="E232" s="25" t="s">
        <v>157</v>
      </c>
      <c r="F232" s="24" t="s">
        <v>529</v>
      </c>
      <c r="G232" s="26">
        <f>G233</f>
        <v>5.5158300000000002</v>
      </c>
      <c r="H232" s="26">
        <f>H233</f>
        <v>5.5158300000000002</v>
      </c>
    </row>
    <row r="233" spans="1:8" ht="31.2" x14ac:dyDescent="0.3">
      <c r="A233" s="22" t="s">
        <v>148</v>
      </c>
      <c r="B233" s="23"/>
      <c r="C233" s="24">
        <v>10</v>
      </c>
      <c r="D233" s="24" t="s">
        <v>421</v>
      </c>
      <c r="E233" s="25" t="s">
        <v>158</v>
      </c>
      <c r="F233" s="24">
        <v>300</v>
      </c>
      <c r="G233" s="26">
        <v>5.5158300000000002</v>
      </c>
      <c r="H233" s="26">
        <v>5.5158300000000002</v>
      </c>
    </row>
    <row r="234" spans="1:8" x14ac:dyDescent="0.3">
      <c r="A234" s="17" t="s">
        <v>178</v>
      </c>
      <c r="B234" s="18"/>
      <c r="C234" s="20" t="s">
        <v>400</v>
      </c>
      <c r="D234" s="20" t="s">
        <v>421</v>
      </c>
      <c r="E234" s="19" t="s">
        <v>23</v>
      </c>
      <c r="F234" s="20" t="s">
        <v>529</v>
      </c>
      <c r="G234" s="21">
        <f>G235+G237+G239</f>
        <v>2774.6759999999999</v>
      </c>
      <c r="H234" s="21">
        <f>H235+H237+H239</f>
        <v>2774.6759999999999</v>
      </c>
    </row>
    <row r="235" spans="1:8" ht="31.2" x14ac:dyDescent="0.3">
      <c r="A235" s="22" t="s">
        <v>159</v>
      </c>
      <c r="B235" s="23"/>
      <c r="C235" s="24">
        <v>10</v>
      </c>
      <c r="D235" s="24" t="s">
        <v>421</v>
      </c>
      <c r="E235" s="25" t="s">
        <v>429</v>
      </c>
      <c r="F235" s="24" t="s">
        <v>529</v>
      </c>
      <c r="G235" s="26">
        <f>G236</f>
        <v>1827.018</v>
      </c>
      <c r="H235" s="26">
        <f>H236</f>
        <v>1827.018</v>
      </c>
    </row>
    <row r="236" spans="1:8" ht="31.2" x14ac:dyDescent="0.3">
      <c r="A236" s="22" t="s">
        <v>148</v>
      </c>
      <c r="B236" s="23"/>
      <c r="C236" s="24">
        <v>10</v>
      </c>
      <c r="D236" s="24" t="s">
        <v>421</v>
      </c>
      <c r="E236" s="25" t="s">
        <v>429</v>
      </c>
      <c r="F236" s="24">
        <v>300</v>
      </c>
      <c r="G236" s="26">
        <v>1827.018</v>
      </c>
      <c r="H236" s="26">
        <v>1827.018</v>
      </c>
    </row>
    <row r="237" spans="1:8" ht="31.2" x14ac:dyDescent="0.3">
      <c r="A237" s="22" t="s">
        <v>160</v>
      </c>
      <c r="B237" s="23"/>
      <c r="C237" s="24">
        <v>10</v>
      </c>
      <c r="D237" s="24" t="s">
        <v>421</v>
      </c>
      <c r="E237" s="25" t="s">
        <v>430</v>
      </c>
      <c r="F237" s="24" t="s">
        <v>529</v>
      </c>
      <c r="G237" s="26">
        <f>G238</f>
        <v>895.15800000000002</v>
      </c>
      <c r="H237" s="26">
        <f>H238</f>
        <v>895.15800000000002</v>
      </c>
    </row>
    <row r="238" spans="1:8" ht="31.2" x14ac:dyDescent="0.3">
      <c r="A238" s="22" t="s">
        <v>148</v>
      </c>
      <c r="B238" s="23"/>
      <c r="C238" s="24">
        <v>10</v>
      </c>
      <c r="D238" s="24" t="s">
        <v>421</v>
      </c>
      <c r="E238" s="25" t="s">
        <v>430</v>
      </c>
      <c r="F238" s="24">
        <v>300</v>
      </c>
      <c r="G238" s="26">
        <v>895.15800000000002</v>
      </c>
      <c r="H238" s="26">
        <v>895.15800000000002</v>
      </c>
    </row>
    <row r="239" spans="1:8" ht="31.2" x14ac:dyDescent="0.3">
      <c r="A239" s="22" t="s">
        <v>432</v>
      </c>
      <c r="B239" s="23"/>
      <c r="C239" s="24" t="s">
        <v>400</v>
      </c>
      <c r="D239" s="24" t="s">
        <v>421</v>
      </c>
      <c r="E239" s="25" t="s">
        <v>232</v>
      </c>
      <c r="F239" s="24" t="s">
        <v>529</v>
      </c>
      <c r="G239" s="26">
        <f>G240</f>
        <v>52.5</v>
      </c>
      <c r="H239" s="26">
        <f>H240</f>
        <v>52.5</v>
      </c>
    </row>
    <row r="240" spans="1:8" ht="31.2" x14ac:dyDescent="0.3">
      <c r="A240" s="22" t="s">
        <v>148</v>
      </c>
      <c r="B240" s="23"/>
      <c r="C240" s="24" t="s">
        <v>400</v>
      </c>
      <c r="D240" s="24" t="s">
        <v>421</v>
      </c>
      <c r="E240" s="25" t="s">
        <v>232</v>
      </c>
      <c r="F240" s="24" t="s">
        <v>431</v>
      </c>
      <c r="G240" s="26">
        <v>52.5</v>
      </c>
      <c r="H240" s="26">
        <v>52.5</v>
      </c>
    </row>
    <row r="241" spans="1:8" x14ac:dyDescent="0.3">
      <c r="A241" s="17" t="s">
        <v>161</v>
      </c>
      <c r="B241" s="18"/>
      <c r="C241" s="20">
        <v>10</v>
      </c>
      <c r="D241" s="20" t="s">
        <v>422</v>
      </c>
      <c r="E241" s="19" t="s">
        <v>9</v>
      </c>
      <c r="F241" s="20" t="s">
        <v>529</v>
      </c>
      <c r="G241" s="21">
        <f>G242</f>
        <v>17204.490000000002</v>
      </c>
      <c r="H241" s="21">
        <f>H242</f>
        <v>17177.455999999998</v>
      </c>
    </row>
    <row r="242" spans="1:8" x14ac:dyDescent="0.3">
      <c r="A242" s="17" t="s">
        <v>178</v>
      </c>
      <c r="B242" s="18"/>
      <c r="C242" s="20" t="s">
        <v>400</v>
      </c>
      <c r="D242" s="20" t="s">
        <v>422</v>
      </c>
      <c r="E242" s="19" t="s">
        <v>23</v>
      </c>
      <c r="F242" s="20" t="s">
        <v>529</v>
      </c>
      <c r="G242" s="21">
        <f>G243+G247</f>
        <v>17204.490000000002</v>
      </c>
      <c r="H242" s="21">
        <f>H243+H247</f>
        <v>17177.455999999998</v>
      </c>
    </row>
    <row r="243" spans="1:8" ht="78" x14ac:dyDescent="0.3">
      <c r="A243" s="22" t="s">
        <v>162</v>
      </c>
      <c r="B243" s="23"/>
      <c r="C243" s="24">
        <v>10</v>
      </c>
      <c r="D243" s="24" t="s">
        <v>422</v>
      </c>
      <c r="E243" s="25" t="s">
        <v>23</v>
      </c>
      <c r="F243" s="24" t="s">
        <v>529</v>
      </c>
      <c r="G243" s="26">
        <f>G244+G245+G246</f>
        <v>16993.09</v>
      </c>
      <c r="H243" s="26">
        <f>H244+H245+H246</f>
        <v>16993.12</v>
      </c>
    </row>
    <row r="244" spans="1:8" ht="62.4" x14ac:dyDescent="0.3">
      <c r="A244" s="22" t="s">
        <v>122</v>
      </c>
      <c r="B244" s="23"/>
      <c r="C244" s="24">
        <v>10</v>
      </c>
      <c r="D244" s="24" t="s">
        <v>422</v>
      </c>
      <c r="E244" s="25" t="s">
        <v>163</v>
      </c>
      <c r="F244" s="24">
        <v>400</v>
      </c>
      <c r="G244" s="26">
        <v>13297.89</v>
      </c>
      <c r="H244" s="26">
        <v>13297.89</v>
      </c>
    </row>
    <row r="245" spans="1:8" ht="62.4" x14ac:dyDescent="0.3">
      <c r="A245" s="22" t="s">
        <v>122</v>
      </c>
      <c r="B245" s="23"/>
      <c r="C245" s="24">
        <v>10</v>
      </c>
      <c r="D245" s="24" t="s">
        <v>422</v>
      </c>
      <c r="E245" s="25" t="s">
        <v>164</v>
      </c>
      <c r="F245" s="24">
        <v>400</v>
      </c>
      <c r="G245" s="26">
        <v>960.75199999999995</v>
      </c>
      <c r="H245" s="26">
        <v>960.78200000000004</v>
      </c>
    </row>
    <row r="246" spans="1:8" ht="62.4" x14ac:dyDescent="0.3">
      <c r="A246" s="22" t="s">
        <v>122</v>
      </c>
      <c r="B246" s="23"/>
      <c r="C246" s="24">
        <v>10</v>
      </c>
      <c r="D246" s="24" t="s">
        <v>422</v>
      </c>
      <c r="E246" s="25" t="s">
        <v>165</v>
      </c>
      <c r="F246" s="24">
        <v>400</v>
      </c>
      <c r="G246" s="26">
        <v>2734.4479999999999</v>
      </c>
      <c r="H246" s="26">
        <v>2734.4479999999999</v>
      </c>
    </row>
    <row r="247" spans="1:8" ht="93.6" x14ac:dyDescent="0.3">
      <c r="A247" s="22" t="s">
        <v>166</v>
      </c>
      <c r="B247" s="23"/>
      <c r="C247" s="24">
        <v>10</v>
      </c>
      <c r="D247" s="24" t="s">
        <v>422</v>
      </c>
      <c r="E247" s="25" t="s">
        <v>167</v>
      </c>
      <c r="F247" s="24" t="s">
        <v>529</v>
      </c>
      <c r="G247" s="26">
        <f>G248</f>
        <v>211.4</v>
      </c>
      <c r="H247" s="26">
        <f>H248</f>
        <v>184.33600000000001</v>
      </c>
    </row>
    <row r="248" spans="1:8" ht="31.2" x14ac:dyDescent="0.3">
      <c r="A248" s="22" t="s">
        <v>18</v>
      </c>
      <c r="B248" s="23"/>
      <c r="C248" s="24">
        <v>10</v>
      </c>
      <c r="D248" s="24" t="s">
        <v>422</v>
      </c>
      <c r="E248" s="25" t="s">
        <v>167</v>
      </c>
      <c r="F248" s="24">
        <v>200</v>
      </c>
      <c r="G248" s="26">
        <v>211.4</v>
      </c>
      <c r="H248" s="26">
        <v>184.33600000000001</v>
      </c>
    </row>
    <row r="249" spans="1:8" x14ac:dyDescent="0.3">
      <c r="A249" s="17" t="s">
        <v>168</v>
      </c>
      <c r="B249" s="18"/>
      <c r="C249" s="20">
        <v>11</v>
      </c>
      <c r="D249" s="20"/>
      <c r="E249" s="19"/>
      <c r="F249" s="20"/>
      <c r="G249" s="21">
        <f>G250+G253</f>
        <v>61387.240000000005</v>
      </c>
      <c r="H249" s="21">
        <f>H250+H253</f>
        <v>60429.808000000005</v>
      </c>
    </row>
    <row r="250" spans="1:8" ht="31.2" x14ac:dyDescent="0.3">
      <c r="A250" s="22" t="s">
        <v>169</v>
      </c>
      <c r="B250" s="23"/>
      <c r="C250" s="24">
        <v>11</v>
      </c>
      <c r="D250" s="24" t="s">
        <v>427</v>
      </c>
      <c r="E250" s="25" t="s">
        <v>170</v>
      </c>
      <c r="F250" s="24" t="s">
        <v>529</v>
      </c>
      <c r="G250" s="26">
        <f>G251+G252</f>
        <v>1200</v>
      </c>
      <c r="H250" s="26">
        <f>H251+H252</f>
        <v>1025.57</v>
      </c>
    </row>
    <row r="251" spans="1:8" x14ac:dyDescent="0.3">
      <c r="A251" s="22" t="s">
        <v>171</v>
      </c>
      <c r="B251" s="23"/>
      <c r="C251" s="24">
        <v>11</v>
      </c>
      <c r="D251" s="24" t="s">
        <v>427</v>
      </c>
      <c r="E251" s="25" t="s">
        <v>172</v>
      </c>
      <c r="F251" s="24">
        <v>100</v>
      </c>
      <c r="G251" s="26">
        <v>890.23</v>
      </c>
      <c r="H251" s="26">
        <v>775.8</v>
      </c>
    </row>
    <row r="252" spans="1:8" ht="31.2" x14ac:dyDescent="0.3">
      <c r="A252" s="22" t="s">
        <v>18</v>
      </c>
      <c r="B252" s="23"/>
      <c r="C252" s="24">
        <v>11</v>
      </c>
      <c r="D252" s="24" t="s">
        <v>427</v>
      </c>
      <c r="E252" s="25" t="s">
        <v>172</v>
      </c>
      <c r="F252" s="24">
        <v>200</v>
      </c>
      <c r="G252" s="26">
        <v>309.77</v>
      </c>
      <c r="H252" s="26">
        <v>249.77</v>
      </c>
    </row>
    <row r="253" spans="1:8" ht="46.8" x14ac:dyDescent="0.3">
      <c r="A253" s="22" t="s">
        <v>173</v>
      </c>
      <c r="B253" s="23"/>
      <c r="C253" s="24">
        <v>11</v>
      </c>
      <c r="D253" s="24" t="s">
        <v>427</v>
      </c>
      <c r="E253" s="25" t="s">
        <v>174</v>
      </c>
      <c r="F253" s="24" t="s">
        <v>529</v>
      </c>
      <c r="G253" s="26">
        <f>G254+G255</f>
        <v>60187.240000000005</v>
      </c>
      <c r="H253" s="26">
        <f>H254+H255</f>
        <v>59404.238000000005</v>
      </c>
    </row>
    <row r="254" spans="1:8" ht="62.4" x14ac:dyDescent="0.3">
      <c r="A254" s="22" t="s">
        <v>51</v>
      </c>
      <c r="B254" s="23"/>
      <c r="C254" s="24">
        <v>11</v>
      </c>
      <c r="D254" s="24" t="s">
        <v>427</v>
      </c>
      <c r="E254" s="25" t="s">
        <v>137</v>
      </c>
      <c r="F254" s="24">
        <v>600</v>
      </c>
      <c r="G254" s="26">
        <f>9905.61+37404.23</f>
        <v>47309.840000000004</v>
      </c>
      <c r="H254" s="26">
        <f>9905.61+36621.228</f>
        <v>46526.838000000003</v>
      </c>
    </row>
    <row r="255" spans="1:8" ht="78" x14ac:dyDescent="0.3">
      <c r="A255" s="22" t="s">
        <v>175</v>
      </c>
      <c r="B255" s="23"/>
      <c r="C255" s="24">
        <v>11</v>
      </c>
      <c r="D255" s="24" t="s">
        <v>427</v>
      </c>
      <c r="E255" s="25" t="s">
        <v>176</v>
      </c>
      <c r="F255" s="24">
        <v>600</v>
      </c>
      <c r="G255" s="26">
        <f>2487.4+10390</f>
        <v>12877.4</v>
      </c>
      <c r="H255" s="26">
        <f>2487.4+10390</f>
        <v>12877.4</v>
      </c>
    </row>
    <row r="256" spans="1:8" ht="31.2" x14ac:dyDescent="0.3">
      <c r="A256" s="17" t="s">
        <v>177</v>
      </c>
      <c r="B256" s="18"/>
      <c r="C256" s="20">
        <v>12</v>
      </c>
      <c r="D256" s="20"/>
      <c r="E256" s="19"/>
      <c r="F256" s="20"/>
      <c r="G256" s="21">
        <f>G257</f>
        <v>4031.7</v>
      </c>
      <c r="H256" s="21">
        <f>H257</f>
        <v>4031.7</v>
      </c>
    </row>
    <row r="257" spans="1:8" x14ac:dyDescent="0.3">
      <c r="A257" s="17" t="s">
        <v>178</v>
      </c>
      <c r="B257" s="18"/>
      <c r="C257" s="20">
        <v>12</v>
      </c>
      <c r="D257" s="20" t="s">
        <v>392</v>
      </c>
      <c r="E257" s="19" t="s">
        <v>179</v>
      </c>
      <c r="F257" s="20" t="s">
        <v>529</v>
      </c>
      <c r="G257" s="21">
        <f>G258+G262</f>
        <v>4031.7</v>
      </c>
      <c r="H257" s="21">
        <f>H258+H262</f>
        <v>4031.7</v>
      </c>
    </row>
    <row r="258" spans="1:8" x14ac:dyDescent="0.3">
      <c r="A258" s="17" t="s">
        <v>180</v>
      </c>
      <c r="B258" s="18"/>
      <c r="C258" s="20">
        <v>12</v>
      </c>
      <c r="D258" s="20" t="s">
        <v>391</v>
      </c>
      <c r="E258" s="19" t="s">
        <v>23</v>
      </c>
      <c r="F258" s="20" t="s">
        <v>529</v>
      </c>
      <c r="G258" s="21">
        <v>1657.3</v>
      </c>
      <c r="H258" s="21">
        <v>1657.3</v>
      </c>
    </row>
    <row r="259" spans="1:8" ht="31.2" x14ac:dyDescent="0.3">
      <c r="A259" s="22" t="s">
        <v>181</v>
      </c>
      <c r="B259" s="23"/>
      <c r="C259" s="24">
        <v>12</v>
      </c>
      <c r="D259" s="24" t="s">
        <v>391</v>
      </c>
      <c r="E259" s="25" t="s">
        <v>182</v>
      </c>
      <c r="F259" s="24" t="s">
        <v>529</v>
      </c>
      <c r="G259" s="26">
        <f>G260+G261</f>
        <v>1657.3</v>
      </c>
      <c r="H259" s="26">
        <f>H260+H261</f>
        <v>1657.3</v>
      </c>
    </row>
    <row r="260" spans="1:8" ht="62.4" x14ac:dyDescent="0.3">
      <c r="A260" s="22" t="s">
        <v>183</v>
      </c>
      <c r="B260" s="23"/>
      <c r="C260" s="24">
        <v>12</v>
      </c>
      <c r="D260" s="24" t="s">
        <v>391</v>
      </c>
      <c r="E260" s="25" t="s">
        <v>184</v>
      </c>
      <c r="F260" s="24">
        <v>800</v>
      </c>
      <c r="G260" s="26">
        <v>331.5</v>
      </c>
      <c r="H260" s="26">
        <v>331.5</v>
      </c>
    </row>
    <row r="261" spans="1:8" ht="62.4" x14ac:dyDescent="0.3">
      <c r="A261" s="22" t="s">
        <v>183</v>
      </c>
      <c r="B261" s="23"/>
      <c r="C261" s="24">
        <v>12</v>
      </c>
      <c r="D261" s="24" t="s">
        <v>391</v>
      </c>
      <c r="E261" s="25" t="s">
        <v>185</v>
      </c>
      <c r="F261" s="24">
        <v>800</v>
      </c>
      <c r="G261" s="26">
        <v>1325.8</v>
      </c>
      <c r="H261" s="26">
        <v>1325.8</v>
      </c>
    </row>
    <row r="262" spans="1:8" ht="31.2" x14ac:dyDescent="0.3">
      <c r="A262" s="17" t="s">
        <v>186</v>
      </c>
      <c r="B262" s="18"/>
      <c r="C262" s="20" t="s">
        <v>420</v>
      </c>
      <c r="D262" s="20" t="s">
        <v>427</v>
      </c>
      <c r="E262" s="19" t="s">
        <v>179</v>
      </c>
      <c r="F262" s="20" t="s">
        <v>529</v>
      </c>
      <c r="G262" s="21">
        <f>G263</f>
        <v>2374.4</v>
      </c>
      <c r="H262" s="21">
        <f>H263</f>
        <v>2374.4</v>
      </c>
    </row>
    <row r="263" spans="1:8" ht="31.2" x14ac:dyDescent="0.3">
      <c r="A263" s="22" t="s">
        <v>186</v>
      </c>
      <c r="B263" s="23"/>
      <c r="C263" s="24">
        <v>12</v>
      </c>
      <c r="D263" s="24" t="s">
        <v>427</v>
      </c>
      <c r="E263" s="25" t="s">
        <v>23</v>
      </c>
      <c r="F263" s="24" t="s">
        <v>529</v>
      </c>
      <c r="G263" s="26">
        <f>G264+G265</f>
        <v>2374.4</v>
      </c>
      <c r="H263" s="26">
        <f>H264+H265</f>
        <v>2374.4</v>
      </c>
    </row>
    <row r="264" spans="1:8" ht="46.8" x14ac:dyDescent="0.3">
      <c r="A264" s="22" t="s">
        <v>187</v>
      </c>
      <c r="B264" s="23"/>
      <c r="C264" s="24">
        <v>12</v>
      </c>
      <c r="D264" s="24" t="s">
        <v>427</v>
      </c>
      <c r="E264" s="25" t="s">
        <v>184</v>
      </c>
      <c r="F264" s="24" t="s">
        <v>402</v>
      </c>
      <c r="G264" s="26">
        <v>474.9</v>
      </c>
      <c r="H264" s="26">
        <v>474.9</v>
      </c>
    </row>
    <row r="265" spans="1:8" ht="62.4" x14ac:dyDescent="0.3">
      <c r="A265" s="22" t="s">
        <v>51</v>
      </c>
      <c r="B265" s="23"/>
      <c r="C265" s="24">
        <v>12</v>
      </c>
      <c r="D265" s="24" t="s">
        <v>427</v>
      </c>
      <c r="E265" s="25" t="s">
        <v>185</v>
      </c>
      <c r="F265" s="24">
        <v>600</v>
      </c>
      <c r="G265" s="26">
        <v>1899.5</v>
      </c>
      <c r="H265" s="26">
        <v>1899.5</v>
      </c>
    </row>
    <row r="266" spans="1:8" ht="46.8" x14ac:dyDescent="0.3">
      <c r="A266" s="17" t="s">
        <v>188</v>
      </c>
      <c r="B266" s="18"/>
      <c r="C266" s="20" t="s">
        <v>393</v>
      </c>
      <c r="D266" s="20"/>
      <c r="E266" s="19"/>
      <c r="F266" s="20"/>
      <c r="G266" s="21">
        <f t="shared" ref="G266:H268" si="4">G267</f>
        <v>1809.63</v>
      </c>
      <c r="H266" s="21">
        <f t="shared" si="4"/>
        <v>927.53008999999997</v>
      </c>
    </row>
    <row r="267" spans="1:8" ht="78" x14ac:dyDescent="0.3">
      <c r="A267" s="17" t="s">
        <v>27</v>
      </c>
      <c r="B267" s="18"/>
      <c r="C267" s="20">
        <v>13</v>
      </c>
      <c r="D267" s="20" t="s">
        <v>391</v>
      </c>
      <c r="E267" s="19" t="s">
        <v>563</v>
      </c>
      <c r="F267" s="20" t="s">
        <v>529</v>
      </c>
      <c r="G267" s="21">
        <f t="shared" si="4"/>
        <v>1809.63</v>
      </c>
      <c r="H267" s="21">
        <f t="shared" si="4"/>
        <v>927.53008999999997</v>
      </c>
    </row>
    <row r="268" spans="1:8" ht="46.8" x14ac:dyDescent="0.3">
      <c r="A268" s="22" t="s">
        <v>189</v>
      </c>
      <c r="B268" s="23"/>
      <c r="C268" s="24">
        <v>13</v>
      </c>
      <c r="D268" s="24" t="s">
        <v>391</v>
      </c>
      <c r="E268" s="25" t="s">
        <v>190</v>
      </c>
      <c r="F268" s="24" t="s">
        <v>529</v>
      </c>
      <c r="G268" s="26">
        <f t="shared" si="4"/>
        <v>1809.63</v>
      </c>
      <c r="H268" s="26">
        <f t="shared" si="4"/>
        <v>927.53008999999997</v>
      </c>
    </row>
    <row r="269" spans="1:8" ht="31.2" x14ac:dyDescent="0.3">
      <c r="A269" s="22" t="s">
        <v>191</v>
      </c>
      <c r="B269" s="23"/>
      <c r="C269" s="24">
        <v>13</v>
      </c>
      <c r="D269" s="24" t="s">
        <v>391</v>
      </c>
      <c r="E269" s="25" t="s">
        <v>190</v>
      </c>
      <c r="F269" s="24">
        <v>700</v>
      </c>
      <c r="G269" s="26">
        <v>1809.63</v>
      </c>
      <c r="H269" s="26">
        <v>927.53008999999997</v>
      </c>
    </row>
    <row r="270" spans="1:8" ht="46.8" x14ac:dyDescent="0.3">
      <c r="A270" s="17" t="s">
        <v>192</v>
      </c>
      <c r="B270" s="18">
        <v>488</v>
      </c>
      <c r="C270" s="20"/>
      <c r="D270" s="20"/>
      <c r="E270" s="19"/>
      <c r="F270" s="20"/>
      <c r="G270" s="21">
        <f>G271+G287+G299+G313</f>
        <v>151558.96601</v>
      </c>
      <c r="H270" s="21">
        <f>H271+H287+H299+H313</f>
        <v>141389.03951</v>
      </c>
    </row>
    <row r="271" spans="1:8" ht="31.2" x14ac:dyDescent="0.3">
      <c r="A271" s="17" t="s">
        <v>8</v>
      </c>
      <c r="B271" s="18"/>
      <c r="C271" s="20" t="s">
        <v>391</v>
      </c>
      <c r="D271" s="20" t="s">
        <v>392</v>
      </c>
      <c r="E271" s="19" t="s">
        <v>9</v>
      </c>
      <c r="F271" s="20" t="s">
        <v>529</v>
      </c>
      <c r="G271" s="21">
        <f>G272+G278</f>
        <v>23649.06522</v>
      </c>
      <c r="H271" s="21">
        <f>H272+H278</f>
        <v>22857.753280000001</v>
      </c>
    </row>
    <row r="272" spans="1:8" ht="46.8" x14ac:dyDescent="0.3">
      <c r="A272" s="17" t="s">
        <v>13</v>
      </c>
      <c r="B272" s="18"/>
      <c r="C272" s="20" t="s">
        <v>391</v>
      </c>
      <c r="D272" s="20" t="s">
        <v>422</v>
      </c>
      <c r="E272" s="19" t="s">
        <v>9</v>
      </c>
      <c r="F272" s="20" t="s">
        <v>529</v>
      </c>
      <c r="G272" s="21">
        <f>G273</f>
        <v>17294.11002</v>
      </c>
      <c r="H272" s="21">
        <f>H273</f>
        <v>16969.72206</v>
      </c>
    </row>
    <row r="273" spans="1:8" x14ac:dyDescent="0.3">
      <c r="A273" s="17" t="s">
        <v>178</v>
      </c>
      <c r="B273" s="18"/>
      <c r="C273" s="20" t="s">
        <v>391</v>
      </c>
      <c r="D273" s="20" t="s">
        <v>422</v>
      </c>
      <c r="E273" s="19" t="s">
        <v>179</v>
      </c>
      <c r="F273" s="20" t="s">
        <v>529</v>
      </c>
      <c r="G273" s="21">
        <f>G274</f>
        <v>17294.11002</v>
      </c>
      <c r="H273" s="21">
        <f>H274</f>
        <v>16969.72206</v>
      </c>
    </row>
    <row r="274" spans="1:8" ht="46.8" x14ac:dyDescent="0.3">
      <c r="A274" s="22" t="s">
        <v>15</v>
      </c>
      <c r="B274" s="23"/>
      <c r="C274" s="24" t="s">
        <v>391</v>
      </c>
      <c r="D274" s="24" t="s">
        <v>422</v>
      </c>
      <c r="E274" s="25" t="s">
        <v>14</v>
      </c>
      <c r="F274" s="24" t="s">
        <v>529</v>
      </c>
      <c r="G274" s="26">
        <f>G275+G276+G277</f>
        <v>17294.11002</v>
      </c>
      <c r="H274" s="26">
        <f>H275+H276+H277</f>
        <v>16969.72206</v>
      </c>
    </row>
    <row r="275" spans="1:8" ht="62.4" x14ac:dyDescent="0.3">
      <c r="A275" s="22" t="s">
        <v>12</v>
      </c>
      <c r="B275" s="23"/>
      <c r="C275" s="24" t="s">
        <v>391</v>
      </c>
      <c r="D275" s="24" t="s">
        <v>422</v>
      </c>
      <c r="E275" s="25" t="s">
        <v>17</v>
      </c>
      <c r="F275" s="24">
        <v>100</v>
      </c>
      <c r="G275" s="26">
        <f>12563.80405+1.342+3720.39495</f>
        <v>16285.541000000001</v>
      </c>
      <c r="H275" s="26">
        <f>12325.79438+0.942+3650.45806</f>
        <v>15977.194439999999</v>
      </c>
    </row>
    <row r="276" spans="1:8" ht="31.2" x14ac:dyDescent="0.3">
      <c r="A276" s="22" t="s">
        <v>18</v>
      </c>
      <c r="B276" s="23"/>
      <c r="C276" s="24" t="s">
        <v>391</v>
      </c>
      <c r="D276" s="24" t="s">
        <v>422</v>
      </c>
      <c r="E276" s="25" t="s">
        <v>17</v>
      </c>
      <c r="F276" s="24">
        <v>200</v>
      </c>
      <c r="G276" s="26">
        <f>751.53934+251.25744</f>
        <v>1002.79678</v>
      </c>
      <c r="H276" s="26">
        <f>735.63348+251.12114</f>
        <v>986.75461999999993</v>
      </c>
    </row>
    <row r="277" spans="1:8" x14ac:dyDescent="0.3">
      <c r="A277" s="22" t="s">
        <v>19</v>
      </c>
      <c r="B277" s="23"/>
      <c r="C277" s="24" t="s">
        <v>391</v>
      </c>
      <c r="D277" s="24" t="s">
        <v>422</v>
      </c>
      <c r="E277" s="25" t="s">
        <v>17</v>
      </c>
      <c r="F277" s="24">
        <v>800</v>
      </c>
      <c r="G277" s="26">
        <v>5.77224</v>
      </c>
      <c r="H277" s="26">
        <v>5.7729999999999997</v>
      </c>
    </row>
    <row r="278" spans="1:8" ht="31.2" x14ac:dyDescent="0.3">
      <c r="A278" s="17" t="s">
        <v>30</v>
      </c>
      <c r="B278" s="18"/>
      <c r="C278" s="20" t="s">
        <v>391</v>
      </c>
      <c r="D278" s="20">
        <v>13</v>
      </c>
      <c r="E278" s="19" t="s">
        <v>9</v>
      </c>
      <c r="F278" s="20" t="s">
        <v>529</v>
      </c>
      <c r="G278" s="21">
        <f>G279</f>
        <v>6354.9552000000003</v>
      </c>
      <c r="H278" s="21">
        <f>H279</f>
        <v>5888.0312199999998</v>
      </c>
    </row>
    <row r="279" spans="1:8" x14ac:dyDescent="0.3">
      <c r="A279" s="17" t="s">
        <v>178</v>
      </c>
      <c r="B279" s="18"/>
      <c r="C279" s="20" t="s">
        <v>391</v>
      </c>
      <c r="D279" s="20" t="s">
        <v>393</v>
      </c>
      <c r="E279" s="19" t="s">
        <v>179</v>
      </c>
      <c r="F279" s="20" t="s">
        <v>529</v>
      </c>
      <c r="G279" s="21">
        <f>G280+G284</f>
        <v>6354.9552000000003</v>
      </c>
      <c r="H279" s="21">
        <f>H280+H284</f>
        <v>5888.0312199999998</v>
      </c>
    </row>
    <row r="280" spans="1:8" ht="31.2" x14ac:dyDescent="0.3">
      <c r="A280" s="22" t="s">
        <v>47</v>
      </c>
      <c r="B280" s="23"/>
      <c r="C280" s="24" t="s">
        <v>391</v>
      </c>
      <c r="D280" s="24">
        <v>13</v>
      </c>
      <c r="E280" s="25" t="s">
        <v>49</v>
      </c>
      <c r="F280" s="24" t="s">
        <v>529</v>
      </c>
      <c r="G280" s="26">
        <f>G281</f>
        <v>6299.4552000000003</v>
      </c>
      <c r="H280" s="26">
        <f>H281</f>
        <v>5832.5312199999998</v>
      </c>
    </row>
    <row r="281" spans="1:8" ht="31.2" x14ac:dyDescent="0.3">
      <c r="A281" s="22" t="s">
        <v>48</v>
      </c>
      <c r="B281" s="23"/>
      <c r="C281" s="24" t="s">
        <v>391</v>
      </c>
      <c r="D281" s="24">
        <v>13</v>
      </c>
      <c r="E281" s="25" t="s">
        <v>50</v>
      </c>
      <c r="F281" s="24" t="s">
        <v>529</v>
      </c>
      <c r="G281" s="26">
        <f>G282+G283</f>
        <v>6299.4552000000003</v>
      </c>
      <c r="H281" s="26">
        <f>H282+H283</f>
        <v>5832.5312199999998</v>
      </c>
    </row>
    <row r="282" spans="1:8" ht="62.4" x14ac:dyDescent="0.3">
      <c r="A282" s="22" t="s">
        <v>12</v>
      </c>
      <c r="B282" s="23"/>
      <c r="C282" s="24" t="s">
        <v>391</v>
      </c>
      <c r="D282" s="24">
        <v>13</v>
      </c>
      <c r="E282" s="25" t="s">
        <v>50</v>
      </c>
      <c r="F282" s="24">
        <v>100</v>
      </c>
      <c r="G282" s="26">
        <f>2385.2145+695.03598</f>
        <v>3080.2504800000002</v>
      </c>
      <c r="H282" s="26">
        <f>2373.02637+693.93875</f>
        <v>3066.9651199999998</v>
      </c>
    </row>
    <row r="283" spans="1:8" ht="31.2" x14ac:dyDescent="0.3">
      <c r="A283" s="22" t="s">
        <v>18</v>
      </c>
      <c r="B283" s="23"/>
      <c r="C283" s="24" t="s">
        <v>391</v>
      </c>
      <c r="D283" s="24">
        <v>13</v>
      </c>
      <c r="E283" s="25" t="s">
        <v>50</v>
      </c>
      <c r="F283" s="24">
        <v>200</v>
      </c>
      <c r="G283" s="26">
        <v>3219.2047200000002</v>
      </c>
      <c r="H283" s="26">
        <f>2765.5661</f>
        <v>2765.5661</v>
      </c>
    </row>
    <row r="284" spans="1:8" ht="46.8" x14ac:dyDescent="0.3">
      <c r="A284" s="22" t="s">
        <v>53</v>
      </c>
      <c r="B284" s="23"/>
      <c r="C284" s="24" t="s">
        <v>391</v>
      </c>
      <c r="D284" s="24">
        <v>13</v>
      </c>
      <c r="E284" s="25" t="s">
        <v>54</v>
      </c>
      <c r="F284" s="24" t="s">
        <v>529</v>
      </c>
      <c r="G284" s="26">
        <f>G285+G286</f>
        <v>55.5</v>
      </c>
      <c r="H284" s="26">
        <f>H285+H286</f>
        <v>55.5</v>
      </c>
    </row>
    <row r="285" spans="1:8" ht="31.2" x14ac:dyDescent="0.3">
      <c r="A285" s="22" t="s">
        <v>18</v>
      </c>
      <c r="B285" s="23"/>
      <c r="C285" s="24" t="s">
        <v>391</v>
      </c>
      <c r="D285" s="24">
        <v>13</v>
      </c>
      <c r="E285" s="25" t="s">
        <v>54</v>
      </c>
      <c r="F285" s="24">
        <v>200</v>
      </c>
      <c r="G285" s="26">
        <v>43.6</v>
      </c>
      <c r="H285" s="26">
        <v>43.6</v>
      </c>
    </row>
    <row r="286" spans="1:8" ht="62.4" x14ac:dyDescent="0.3">
      <c r="A286" s="22" t="s">
        <v>51</v>
      </c>
      <c r="B286" s="23"/>
      <c r="C286" s="24" t="s">
        <v>391</v>
      </c>
      <c r="D286" s="24" t="s">
        <v>393</v>
      </c>
      <c r="E286" s="25" t="s">
        <v>54</v>
      </c>
      <c r="F286" s="24" t="s">
        <v>402</v>
      </c>
      <c r="G286" s="26">
        <v>11.9</v>
      </c>
      <c r="H286" s="26">
        <v>11.9</v>
      </c>
    </row>
    <row r="287" spans="1:8" ht="46.8" x14ac:dyDescent="0.3">
      <c r="A287" s="17" t="s">
        <v>58</v>
      </c>
      <c r="B287" s="18"/>
      <c r="C287" s="20" t="s">
        <v>421</v>
      </c>
      <c r="D287" s="20" t="s">
        <v>392</v>
      </c>
      <c r="E287" s="19" t="s">
        <v>9</v>
      </c>
      <c r="F287" s="20" t="s">
        <v>529</v>
      </c>
      <c r="G287" s="21">
        <f>G288+G291</f>
        <v>15479.05286</v>
      </c>
      <c r="H287" s="21">
        <f>H288+H291</f>
        <v>15295.829829999997</v>
      </c>
    </row>
    <row r="288" spans="1:8" ht="78" x14ac:dyDescent="0.3">
      <c r="A288" s="17" t="s">
        <v>59</v>
      </c>
      <c r="B288" s="18"/>
      <c r="C288" s="20" t="s">
        <v>421</v>
      </c>
      <c r="D288" s="20" t="s">
        <v>428</v>
      </c>
      <c r="E288" s="19" t="s">
        <v>9</v>
      </c>
      <c r="F288" s="20" t="s">
        <v>529</v>
      </c>
      <c r="G288" s="21">
        <f>G289</f>
        <v>200.12</v>
      </c>
      <c r="H288" s="21">
        <f>H289</f>
        <v>199.6516</v>
      </c>
    </row>
    <row r="289" spans="1:12" ht="109.2" x14ac:dyDescent="0.3">
      <c r="A289" s="22" t="s">
        <v>528</v>
      </c>
      <c r="B289" s="23"/>
      <c r="C289" s="24" t="s">
        <v>421</v>
      </c>
      <c r="D289" s="24" t="s">
        <v>428</v>
      </c>
      <c r="E289" s="25" t="s">
        <v>193</v>
      </c>
      <c r="F289" s="24" t="s">
        <v>529</v>
      </c>
      <c r="G289" s="26">
        <f>G290</f>
        <v>200.12</v>
      </c>
      <c r="H289" s="26">
        <f>H290</f>
        <v>199.6516</v>
      </c>
      <c r="L289" s="27"/>
    </row>
    <row r="290" spans="1:12" ht="31.2" x14ac:dyDescent="0.3">
      <c r="A290" s="22" t="s">
        <v>18</v>
      </c>
      <c r="B290" s="23"/>
      <c r="C290" s="24" t="s">
        <v>421</v>
      </c>
      <c r="D290" s="24" t="s">
        <v>428</v>
      </c>
      <c r="E290" s="25" t="s">
        <v>193</v>
      </c>
      <c r="F290" s="24">
        <v>200</v>
      </c>
      <c r="G290" s="26">
        <v>200.12</v>
      </c>
      <c r="H290" s="26">
        <v>199.6516</v>
      </c>
    </row>
    <row r="291" spans="1:12" ht="31.2" x14ac:dyDescent="0.3">
      <c r="A291" s="17" t="s">
        <v>68</v>
      </c>
      <c r="B291" s="18"/>
      <c r="C291" s="20" t="s">
        <v>421</v>
      </c>
      <c r="D291" s="20">
        <v>10</v>
      </c>
      <c r="E291" s="19" t="s">
        <v>9</v>
      </c>
      <c r="F291" s="20" t="s">
        <v>529</v>
      </c>
      <c r="G291" s="21">
        <f>G292+G297</f>
        <v>15278.932859999999</v>
      </c>
      <c r="H291" s="21">
        <f>H292+H297</f>
        <v>15096.178229999998</v>
      </c>
    </row>
    <row r="292" spans="1:12" ht="62.4" x14ac:dyDescent="0.3">
      <c r="A292" s="22" t="s">
        <v>194</v>
      </c>
      <c r="B292" s="23"/>
      <c r="C292" s="24" t="s">
        <v>421</v>
      </c>
      <c r="D292" s="24">
        <v>10</v>
      </c>
      <c r="E292" s="25" t="s">
        <v>195</v>
      </c>
      <c r="F292" s="24" t="s">
        <v>529</v>
      </c>
      <c r="G292" s="26">
        <f>G293+G294+G295+G296</f>
        <v>15266.952859999999</v>
      </c>
      <c r="H292" s="26">
        <f>H293+H294+H295+H296</f>
        <v>15084.257979999998</v>
      </c>
    </row>
    <row r="293" spans="1:12" ht="31.2" x14ac:dyDescent="0.3">
      <c r="A293" s="22" t="s">
        <v>196</v>
      </c>
      <c r="B293" s="23"/>
      <c r="C293" s="24" t="s">
        <v>421</v>
      </c>
      <c r="D293" s="24">
        <v>10</v>
      </c>
      <c r="E293" s="25" t="s">
        <v>195</v>
      </c>
      <c r="F293" s="24">
        <v>100</v>
      </c>
      <c r="G293" s="26">
        <f>7196.54947+2163.17053</f>
        <v>9359.7199999999993</v>
      </c>
      <c r="H293" s="26">
        <f>7184.23865+2159.37009</f>
        <v>9343.6087399999997</v>
      </c>
    </row>
    <row r="294" spans="1:12" ht="31.2" x14ac:dyDescent="0.3">
      <c r="A294" s="22" t="s">
        <v>196</v>
      </c>
      <c r="B294" s="23"/>
      <c r="C294" s="24" t="s">
        <v>421</v>
      </c>
      <c r="D294" s="24">
        <v>10</v>
      </c>
      <c r="E294" s="25" t="s">
        <v>197</v>
      </c>
      <c r="F294" s="24">
        <v>100</v>
      </c>
      <c r="G294" s="26">
        <f>3055.2+922.6</f>
        <v>3977.7999999999997</v>
      </c>
      <c r="H294" s="26">
        <f>3055.2+922.6</f>
        <v>3977.7999999999997</v>
      </c>
    </row>
    <row r="295" spans="1:12" ht="31.2" x14ac:dyDescent="0.3">
      <c r="A295" s="22" t="s">
        <v>18</v>
      </c>
      <c r="B295" s="23"/>
      <c r="C295" s="24" t="s">
        <v>421</v>
      </c>
      <c r="D295" s="24">
        <v>10</v>
      </c>
      <c r="E295" s="25" t="s">
        <v>195</v>
      </c>
      <c r="F295" s="24">
        <v>200</v>
      </c>
      <c r="G295" s="26">
        <f>22.602+1906.83086</f>
        <v>1929.4328600000001</v>
      </c>
      <c r="H295" s="26">
        <f>22.60161+1740.24763</f>
        <v>1762.84924</v>
      </c>
    </row>
    <row r="296" spans="1:12" ht="62.4" x14ac:dyDescent="0.3">
      <c r="A296" s="22" t="s">
        <v>122</v>
      </c>
      <c r="B296" s="23"/>
      <c r="C296" s="24" t="s">
        <v>421</v>
      </c>
      <c r="D296" s="24">
        <v>10</v>
      </c>
      <c r="E296" s="25" t="s">
        <v>195</v>
      </c>
      <c r="F296" s="24">
        <v>400</v>
      </c>
      <c r="G296" s="26">
        <v>0</v>
      </c>
      <c r="H296" s="26">
        <v>0</v>
      </c>
    </row>
    <row r="297" spans="1:12" ht="93.6" x14ac:dyDescent="0.3">
      <c r="A297" s="22" t="s">
        <v>494</v>
      </c>
      <c r="B297" s="23"/>
      <c r="C297" s="24" t="s">
        <v>421</v>
      </c>
      <c r="D297" s="24">
        <v>10</v>
      </c>
      <c r="E297" s="25" t="s">
        <v>399</v>
      </c>
      <c r="F297" s="24" t="s">
        <v>529</v>
      </c>
      <c r="G297" s="26">
        <f>G298</f>
        <v>11.98</v>
      </c>
      <c r="H297" s="26">
        <f>H298</f>
        <v>11.920249999999999</v>
      </c>
    </row>
    <row r="298" spans="1:12" ht="31.2" x14ac:dyDescent="0.3">
      <c r="A298" s="22" t="s">
        <v>18</v>
      </c>
      <c r="B298" s="23"/>
      <c r="C298" s="24" t="s">
        <v>421</v>
      </c>
      <c r="D298" s="24">
        <v>10</v>
      </c>
      <c r="E298" s="25" t="s">
        <v>399</v>
      </c>
      <c r="F298" s="24">
        <v>200</v>
      </c>
      <c r="G298" s="26">
        <v>11.98</v>
      </c>
      <c r="H298" s="26">
        <v>11.920249999999999</v>
      </c>
    </row>
    <row r="299" spans="1:12" x14ac:dyDescent="0.3">
      <c r="A299" s="17" t="s">
        <v>73</v>
      </c>
      <c r="B299" s="18"/>
      <c r="C299" s="20" t="s">
        <v>422</v>
      </c>
      <c r="D299" s="20" t="s">
        <v>392</v>
      </c>
      <c r="E299" s="19" t="s">
        <v>9</v>
      </c>
      <c r="F299" s="20" t="s">
        <v>529</v>
      </c>
      <c r="G299" s="21">
        <f>G300</f>
        <v>70608.162849999993</v>
      </c>
      <c r="H299" s="21">
        <f>H300</f>
        <v>62484.328390000002</v>
      </c>
    </row>
    <row r="300" spans="1:12" x14ac:dyDescent="0.3">
      <c r="A300" s="17" t="s">
        <v>198</v>
      </c>
      <c r="B300" s="18"/>
      <c r="C300" s="20" t="s">
        <v>422</v>
      </c>
      <c r="D300" s="20" t="s">
        <v>428</v>
      </c>
      <c r="E300" s="19" t="s">
        <v>9</v>
      </c>
      <c r="F300" s="20" t="s">
        <v>529</v>
      </c>
      <c r="G300" s="21">
        <f>G301+G305+G310</f>
        <v>70608.162849999993</v>
      </c>
      <c r="H300" s="21">
        <f>H301+H305+H310</f>
        <v>62484.328390000002</v>
      </c>
    </row>
    <row r="301" spans="1:12" ht="62.4" x14ac:dyDescent="0.3">
      <c r="A301" s="17" t="s">
        <v>564</v>
      </c>
      <c r="B301" s="18"/>
      <c r="C301" s="20" t="s">
        <v>422</v>
      </c>
      <c r="D301" s="20" t="s">
        <v>428</v>
      </c>
      <c r="E301" s="19" t="s">
        <v>565</v>
      </c>
      <c r="F301" s="20" t="s">
        <v>529</v>
      </c>
      <c r="G301" s="21">
        <f>G302</f>
        <v>9096.3745099999996</v>
      </c>
      <c r="H301" s="21">
        <f>H302</f>
        <v>8728.3357799999994</v>
      </c>
    </row>
    <row r="302" spans="1:12" ht="31.2" x14ac:dyDescent="0.3">
      <c r="A302" s="22" t="s">
        <v>199</v>
      </c>
      <c r="B302" s="23"/>
      <c r="C302" s="24" t="s">
        <v>422</v>
      </c>
      <c r="D302" s="24" t="s">
        <v>428</v>
      </c>
      <c r="E302" s="25" t="s">
        <v>200</v>
      </c>
      <c r="F302" s="24" t="s">
        <v>529</v>
      </c>
      <c r="G302" s="26">
        <f>G303+G304</f>
        <v>9096.3745099999996</v>
      </c>
      <c r="H302" s="26">
        <f>H303+H304</f>
        <v>8728.3357799999994</v>
      </c>
    </row>
    <row r="303" spans="1:12" ht="31.2" x14ac:dyDescent="0.3">
      <c r="A303" s="22" t="s">
        <v>18</v>
      </c>
      <c r="B303" s="23"/>
      <c r="C303" s="24" t="s">
        <v>422</v>
      </c>
      <c r="D303" s="24" t="s">
        <v>428</v>
      </c>
      <c r="E303" s="25" t="s">
        <v>200</v>
      </c>
      <c r="F303" s="24">
        <v>200</v>
      </c>
      <c r="G303" s="26">
        <v>8459.1445100000001</v>
      </c>
      <c r="H303" s="26">
        <v>8091.1057799999999</v>
      </c>
    </row>
    <row r="304" spans="1:12" ht="62.4" x14ac:dyDescent="0.3">
      <c r="A304" s="22" t="s">
        <v>51</v>
      </c>
      <c r="B304" s="23"/>
      <c r="C304" s="24" t="s">
        <v>422</v>
      </c>
      <c r="D304" s="24" t="s">
        <v>428</v>
      </c>
      <c r="E304" s="25" t="s">
        <v>200</v>
      </c>
      <c r="F304" s="24">
        <v>600</v>
      </c>
      <c r="G304" s="26">
        <v>637.23</v>
      </c>
      <c r="H304" s="26">
        <v>637.23</v>
      </c>
    </row>
    <row r="305" spans="1:8" ht="62.4" x14ac:dyDescent="0.3">
      <c r="A305" s="17" t="s">
        <v>566</v>
      </c>
      <c r="B305" s="18"/>
      <c r="C305" s="20" t="s">
        <v>422</v>
      </c>
      <c r="D305" s="20" t="s">
        <v>428</v>
      </c>
      <c r="E305" s="19" t="s">
        <v>540</v>
      </c>
      <c r="F305" s="20" t="s">
        <v>529</v>
      </c>
      <c r="G305" s="21">
        <f>G306</f>
        <v>59666.199339999999</v>
      </c>
      <c r="H305" s="21">
        <f>H306</f>
        <v>51910.412609999999</v>
      </c>
    </row>
    <row r="306" spans="1:8" x14ac:dyDescent="0.3">
      <c r="A306" s="22" t="s">
        <v>201</v>
      </c>
      <c r="B306" s="23"/>
      <c r="C306" s="24" t="s">
        <v>422</v>
      </c>
      <c r="D306" s="24" t="s">
        <v>428</v>
      </c>
      <c r="E306" s="25" t="s">
        <v>202</v>
      </c>
      <c r="F306" s="24" t="s">
        <v>529</v>
      </c>
      <c r="G306" s="26">
        <f>G307+G308+G309</f>
        <v>59666.199339999999</v>
      </c>
      <c r="H306" s="26">
        <f>H307+H308+H309</f>
        <v>51910.412609999999</v>
      </c>
    </row>
    <row r="307" spans="1:8" ht="31.2" x14ac:dyDescent="0.3">
      <c r="A307" s="22" t="s">
        <v>18</v>
      </c>
      <c r="B307" s="23"/>
      <c r="C307" s="24" t="s">
        <v>422</v>
      </c>
      <c r="D307" s="24" t="s">
        <v>428</v>
      </c>
      <c r="E307" s="25" t="s">
        <v>203</v>
      </c>
      <c r="F307" s="24">
        <v>200</v>
      </c>
      <c r="G307" s="26">
        <v>11306.477000000001</v>
      </c>
      <c r="H307" s="26">
        <v>11306.477000000001</v>
      </c>
    </row>
    <row r="308" spans="1:8" ht="62.4" x14ac:dyDescent="0.3">
      <c r="A308" s="22" t="s">
        <v>51</v>
      </c>
      <c r="B308" s="23"/>
      <c r="C308" s="24" t="s">
        <v>422</v>
      </c>
      <c r="D308" s="24" t="s">
        <v>428</v>
      </c>
      <c r="E308" s="25" t="s">
        <v>203</v>
      </c>
      <c r="F308" s="24">
        <v>600</v>
      </c>
      <c r="G308" s="26">
        <v>630</v>
      </c>
      <c r="H308" s="26">
        <v>630</v>
      </c>
    </row>
    <row r="309" spans="1:8" ht="31.2" x14ac:dyDescent="0.3">
      <c r="A309" s="22" t="s">
        <v>18</v>
      </c>
      <c r="B309" s="23"/>
      <c r="C309" s="24" t="s">
        <v>422</v>
      </c>
      <c r="D309" s="24" t="s">
        <v>428</v>
      </c>
      <c r="E309" s="25" t="s">
        <v>204</v>
      </c>
      <c r="F309" s="24">
        <v>200</v>
      </c>
      <c r="G309" s="26">
        <v>47729.72234</v>
      </c>
      <c r="H309" s="26">
        <v>39973.93561</v>
      </c>
    </row>
    <row r="310" spans="1:8" x14ac:dyDescent="0.3">
      <c r="A310" s="17" t="s">
        <v>178</v>
      </c>
      <c r="B310" s="18"/>
      <c r="C310" s="20" t="s">
        <v>422</v>
      </c>
      <c r="D310" s="20" t="s">
        <v>428</v>
      </c>
      <c r="E310" s="19" t="s">
        <v>179</v>
      </c>
      <c r="F310" s="20" t="s">
        <v>529</v>
      </c>
      <c r="G310" s="21">
        <f>G311</f>
        <v>1845.5889999999999</v>
      </c>
      <c r="H310" s="21">
        <f>H311</f>
        <v>1845.58</v>
      </c>
    </row>
    <row r="311" spans="1:8" ht="109.2" x14ac:dyDescent="0.3">
      <c r="A311" s="22" t="s">
        <v>205</v>
      </c>
      <c r="B311" s="23"/>
      <c r="C311" s="24" t="s">
        <v>422</v>
      </c>
      <c r="D311" s="24" t="s">
        <v>428</v>
      </c>
      <c r="E311" s="25" t="s">
        <v>495</v>
      </c>
      <c r="F311" s="24" t="s">
        <v>529</v>
      </c>
      <c r="G311" s="26">
        <f>G312</f>
        <v>1845.5889999999999</v>
      </c>
      <c r="H311" s="26">
        <f>H312</f>
        <v>1845.58</v>
      </c>
    </row>
    <row r="312" spans="1:8" ht="31.2" x14ac:dyDescent="0.3">
      <c r="A312" s="22" t="s">
        <v>18</v>
      </c>
      <c r="B312" s="23"/>
      <c r="C312" s="24" t="s">
        <v>422</v>
      </c>
      <c r="D312" s="24" t="s">
        <v>428</v>
      </c>
      <c r="E312" s="25" t="s">
        <v>495</v>
      </c>
      <c r="F312" s="24">
        <v>200</v>
      </c>
      <c r="G312" s="26">
        <v>1845.5889999999999</v>
      </c>
      <c r="H312" s="26">
        <v>1845.58</v>
      </c>
    </row>
    <row r="313" spans="1:8" ht="31.2" x14ac:dyDescent="0.3">
      <c r="A313" s="17" t="s">
        <v>104</v>
      </c>
      <c r="B313" s="18"/>
      <c r="C313" s="20" t="s">
        <v>423</v>
      </c>
      <c r="D313" s="20"/>
      <c r="E313" s="19"/>
      <c r="F313" s="20"/>
      <c r="G313" s="21">
        <f>G314+G323+G348</f>
        <v>41822.685080000003</v>
      </c>
      <c r="H313" s="21">
        <f>H314+H323+H348</f>
        <v>40751.12801</v>
      </c>
    </row>
    <row r="314" spans="1:8" x14ac:dyDescent="0.3">
      <c r="A314" s="17" t="s">
        <v>112</v>
      </c>
      <c r="B314" s="18"/>
      <c r="C314" s="20" t="s">
        <v>423</v>
      </c>
      <c r="D314" s="20" t="s">
        <v>427</v>
      </c>
      <c r="E314" s="19" t="s">
        <v>9</v>
      </c>
      <c r="F314" s="20" t="s">
        <v>529</v>
      </c>
      <c r="G314" s="21">
        <f>G315+G318</f>
        <v>2859.4486000000002</v>
      </c>
      <c r="H314" s="21">
        <f>H315+H318</f>
        <v>2774.32314</v>
      </c>
    </row>
    <row r="315" spans="1:8" ht="93.6" x14ac:dyDescent="0.3">
      <c r="A315" s="17" t="s">
        <v>567</v>
      </c>
      <c r="B315" s="18"/>
      <c r="C315" s="20" t="s">
        <v>423</v>
      </c>
      <c r="D315" s="20" t="s">
        <v>427</v>
      </c>
      <c r="E315" s="19" t="s">
        <v>384</v>
      </c>
      <c r="F315" s="20" t="s">
        <v>529</v>
      </c>
      <c r="G315" s="21">
        <f>G316</f>
        <v>1078</v>
      </c>
      <c r="H315" s="21">
        <f>H316</f>
        <v>1003.93314</v>
      </c>
    </row>
    <row r="316" spans="1:8" ht="31.2" x14ac:dyDescent="0.3">
      <c r="A316" s="17" t="s">
        <v>113</v>
      </c>
      <c r="B316" s="18"/>
      <c r="C316" s="20" t="s">
        <v>423</v>
      </c>
      <c r="D316" s="20" t="s">
        <v>427</v>
      </c>
      <c r="E316" s="19" t="s">
        <v>206</v>
      </c>
      <c r="F316" s="20" t="s">
        <v>529</v>
      </c>
      <c r="G316" s="21">
        <f>G317</f>
        <v>1078</v>
      </c>
      <c r="H316" s="21">
        <f>H317</f>
        <v>1003.93314</v>
      </c>
    </row>
    <row r="317" spans="1:8" x14ac:dyDescent="0.3">
      <c r="A317" s="22" t="s">
        <v>19</v>
      </c>
      <c r="B317" s="23"/>
      <c r="C317" s="24" t="s">
        <v>423</v>
      </c>
      <c r="D317" s="24" t="s">
        <v>427</v>
      </c>
      <c r="E317" s="25" t="s">
        <v>206</v>
      </c>
      <c r="F317" s="24">
        <v>800</v>
      </c>
      <c r="G317" s="26">
        <v>1078</v>
      </c>
      <c r="H317" s="26">
        <v>1003.93314</v>
      </c>
    </row>
    <row r="318" spans="1:8" ht="78" x14ac:dyDescent="0.3">
      <c r="A318" s="17" t="s">
        <v>548</v>
      </c>
      <c r="B318" s="18"/>
      <c r="C318" s="20" t="s">
        <v>423</v>
      </c>
      <c r="D318" s="20" t="s">
        <v>427</v>
      </c>
      <c r="E318" s="19" t="s">
        <v>568</v>
      </c>
      <c r="F318" s="20" t="s">
        <v>529</v>
      </c>
      <c r="G318" s="21">
        <f>G319+G321</f>
        <v>1781.4486000000002</v>
      </c>
      <c r="H318" s="21">
        <f>H319+H321</f>
        <v>1770.39</v>
      </c>
    </row>
    <row r="319" spans="1:8" ht="62.4" x14ac:dyDescent="0.3">
      <c r="A319" s="22" t="s">
        <v>207</v>
      </c>
      <c r="B319" s="23"/>
      <c r="C319" s="24" t="s">
        <v>423</v>
      </c>
      <c r="D319" s="24" t="s">
        <v>427</v>
      </c>
      <c r="E319" s="25" t="s">
        <v>208</v>
      </c>
      <c r="F319" s="24" t="s">
        <v>529</v>
      </c>
      <c r="G319" s="26">
        <f>G320</f>
        <v>1335.3205</v>
      </c>
      <c r="H319" s="26">
        <f>H320</f>
        <v>1334.9</v>
      </c>
    </row>
    <row r="320" spans="1:8" ht="31.2" x14ac:dyDescent="0.3">
      <c r="A320" s="22" t="s">
        <v>18</v>
      </c>
      <c r="B320" s="23"/>
      <c r="C320" s="24" t="s">
        <v>423</v>
      </c>
      <c r="D320" s="24" t="s">
        <v>427</v>
      </c>
      <c r="E320" s="25" t="s">
        <v>208</v>
      </c>
      <c r="F320" s="24">
        <v>200</v>
      </c>
      <c r="G320" s="26">
        <v>1335.3205</v>
      </c>
      <c r="H320" s="26">
        <v>1334.9</v>
      </c>
    </row>
    <row r="321" spans="1:8" ht="46.8" x14ac:dyDescent="0.3">
      <c r="A321" s="22" t="s">
        <v>209</v>
      </c>
      <c r="B321" s="23"/>
      <c r="C321" s="24" t="s">
        <v>423</v>
      </c>
      <c r="D321" s="24" t="s">
        <v>427</v>
      </c>
      <c r="E321" s="25" t="s">
        <v>210</v>
      </c>
      <c r="F321" s="24" t="s">
        <v>529</v>
      </c>
      <c r="G321" s="26">
        <f>G322</f>
        <v>446.12810000000002</v>
      </c>
      <c r="H321" s="26">
        <f>H322</f>
        <v>435.49</v>
      </c>
    </row>
    <row r="322" spans="1:8" ht="31.2" x14ac:dyDescent="0.3">
      <c r="A322" s="22" t="s">
        <v>18</v>
      </c>
      <c r="B322" s="23"/>
      <c r="C322" s="24" t="s">
        <v>423</v>
      </c>
      <c r="D322" s="24" t="s">
        <v>427</v>
      </c>
      <c r="E322" s="25" t="s">
        <v>210</v>
      </c>
      <c r="F322" s="24">
        <v>200</v>
      </c>
      <c r="G322" s="26">
        <v>446.12810000000002</v>
      </c>
      <c r="H322" s="26">
        <v>435.49</v>
      </c>
    </row>
    <row r="323" spans="1:8" x14ac:dyDescent="0.3">
      <c r="A323" s="17" t="s">
        <v>116</v>
      </c>
      <c r="B323" s="18"/>
      <c r="C323" s="20" t="s">
        <v>423</v>
      </c>
      <c r="D323" s="20" t="s">
        <v>421</v>
      </c>
      <c r="E323" s="19" t="s">
        <v>9</v>
      </c>
      <c r="F323" s="20" t="s">
        <v>529</v>
      </c>
      <c r="G323" s="21">
        <f>G324+G343</f>
        <v>32210.02648</v>
      </c>
      <c r="H323" s="21">
        <f>H324+H343</f>
        <v>31223.594870000004</v>
      </c>
    </row>
    <row r="324" spans="1:8" ht="62.4" x14ac:dyDescent="0.3">
      <c r="A324" s="17" t="s">
        <v>564</v>
      </c>
      <c r="B324" s="18"/>
      <c r="C324" s="20" t="s">
        <v>423</v>
      </c>
      <c r="D324" s="20" t="s">
        <v>421</v>
      </c>
      <c r="E324" s="19" t="s">
        <v>565</v>
      </c>
      <c r="F324" s="20" t="s">
        <v>529</v>
      </c>
      <c r="G324" s="21">
        <f>G325+G329+G331+G334+G337+G341</f>
        <v>32048.857980000001</v>
      </c>
      <c r="H324" s="21">
        <f>H325+H329+H331+H334+H337+H341</f>
        <v>31062.426370000005</v>
      </c>
    </row>
    <row r="325" spans="1:8" x14ac:dyDescent="0.3">
      <c r="A325" s="22" t="s">
        <v>211</v>
      </c>
      <c r="B325" s="23"/>
      <c r="C325" s="24" t="s">
        <v>423</v>
      </c>
      <c r="D325" s="24" t="s">
        <v>421</v>
      </c>
      <c r="E325" s="25" t="s">
        <v>212</v>
      </c>
      <c r="F325" s="24" t="s">
        <v>529</v>
      </c>
      <c r="G325" s="26">
        <f>G326+G327+G328</f>
        <v>10937.937600000001</v>
      </c>
      <c r="H325" s="26">
        <f>H326+H327+H328</f>
        <v>10825.02535</v>
      </c>
    </row>
    <row r="326" spans="1:8" ht="31.2" x14ac:dyDescent="0.3">
      <c r="A326" s="22" t="s">
        <v>18</v>
      </c>
      <c r="B326" s="23"/>
      <c r="C326" s="24" t="s">
        <v>423</v>
      </c>
      <c r="D326" s="24" t="s">
        <v>421</v>
      </c>
      <c r="E326" s="25" t="s">
        <v>213</v>
      </c>
      <c r="F326" s="24">
        <v>200</v>
      </c>
      <c r="G326" s="26">
        <v>10717.327520000001</v>
      </c>
      <c r="H326" s="26">
        <v>10604.41527</v>
      </c>
    </row>
    <row r="327" spans="1:8" ht="62.4" x14ac:dyDescent="0.3">
      <c r="A327" s="22" t="s">
        <v>51</v>
      </c>
      <c r="B327" s="23"/>
      <c r="C327" s="24" t="s">
        <v>423</v>
      </c>
      <c r="D327" s="24" t="s">
        <v>421</v>
      </c>
      <c r="E327" s="25" t="s">
        <v>213</v>
      </c>
      <c r="F327" s="24">
        <v>600</v>
      </c>
      <c r="G327" s="26">
        <v>219.99</v>
      </c>
      <c r="H327" s="26">
        <v>219.99</v>
      </c>
    </row>
    <row r="328" spans="1:8" x14ac:dyDescent="0.3">
      <c r="A328" s="22" t="s">
        <v>19</v>
      </c>
      <c r="B328" s="23"/>
      <c r="C328" s="24" t="s">
        <v>423</v>
      </c>
      <c r="D328" s="24" t="s">
        <v>421</v>
      </c>
      <c r="E328" s="25" t="s">
        <v>496</v>
      </c>
      <c r="F328" s="24">
        <v>800</v>
      </c>
      <c r="G328" s="26">
        <v>0.62007999999999996</v>
      </c>
      <c r="H328" s="26">
        <v>0.62007999999999996</v>
      </c>
    </row>
    <row r="329" spans="1:8" ht="46.8" x14ac:dyDescent="0.3">
      <c r="A329" s="22" t="s">
        <v>214</v>
      </c>
      <c r="B329" s="23"/>
      <c r="C329" s="24" t="s">
        <v>423</v>
      </c>
      <c r="D329" s="24" t="s">
        <v>421</v>
      </c>
      <c r="E329" s="25" t="s">
        <v>497</v>
      </c>
      <c r="F329" s="24" t="s">
        <v>529</v>
      </c>
      <c r="G329" s="26">
        <f>G330</f>
        <v>13279.13582</v>
      </c>
      <c r="H329" s="26">
        <f>H330</f>
        <v>12639.64509</v>
      </c>
    </row>
    <row r="330" spans="1:8" ht="31.2" x14ac:dyDescent="0.3">
      <c r="A330" s="22" t="s">
        <v>18</v>
      </c>
      <c r="B330" s="23"/>
      <c r="C330" s="24" t="s">
        <v>423</v>
      </c>
      <c r="D330" s="24" t="s">
        <v>421</v>
      </c>
      <c r="E330" s="25" t="s">
        <v>497</v>
      </c>
      <c r="F330" s="24">
        <v>200</v>
      </c>
      <c r="G330" s="26">
        <v>13279.13582</v>
      </c>
      <c r="H330" s="26">
        <v>12639.64509</v>
      </c>
    </row>
    <row r="331" spans="1:8" x14ac:dyDescent="0.3">
      <c r="A331" s="22" t="s">
        <v>215</v>
      </c>
      <c r="B331" s="23"/>
      <c r="C331" s="24" t="s">
        <v>423</v>
      </c>
      <c r="D331" s="24" t="s">
        <v>421</v>
      </c>
      <c r="E331" s="25" t="s">
        <v>216</v>
      </c>
      <c r="F331" s="24" t="s">
        <v>529</v>
      </c>
      <c r="G331" s="26">
        <f>G332+G333</f>
        <v>616.55038000000002</v>
      </c>
      <c r="H331" s="26">
        <f>H332+H333</f>
        <v>459.16685999999999</v>
      </c>
    </row>
    <row r="332" spans="1:8" ht="31.2" x14ac:dyDescent="0.3">
      <c r="A332" s="22" t="s">
        <v>18</v>
      </c>
      <c r="B332" s="23"/>
      <c r="C332" s="24" t="s">
        <v>423</v>
      </c>
      <c r="D332" s="24" t="s">
        <v>421</v>
      </c>
      <c r="E332" s="25" t="s">
        <v>217</v>
      </c>
      <c r="F332" s="24">
        <v>200</v>
      </c>
      <c r="G332" s="26">
        <v>576.05038000000002</v>
      </c>
      <c r="H332" s="26">
        <v>418.66685999999999</v>
      </c>
    </row>
    <row r="333" spans="1:8" ht="62.4" x14ac:dyDescent="0.3">
      <c r="A333" s="22" t="s">
        <v>51</v>
      </c>
      <c r="B333" s="23"/>
      <c r="C333" s="24" t="s">
        <v>423</v>
      </c>
      <c r="D333" s="24" t="s">
        <v>421</v>
      </c>
      <c r="E333" s="25" t="s">
        <v>217</v>
      </c>
      <c r="F333" s="24">
        <v>600</v>
      </c>
      <c r="G333" s="26">
        <v>40.5</v>
      </c>
      <c r="H333" s="26">
        <v>40.5</v>
      </c>
    </row>
    <row r="334" spans="1:8" x14ac:dyDescent="0.3">
      <c r="A334" s="22" t="s">
        <v>218</v>
      </c>
      <c r="B334" s="23"/>
      <c r="C334" s="24" t="s">
        <v>423</v>
      </c>
      <c r="D334" s="24" t="s">
        <v>421</v>
      </c>
      <c r="E334" s="25" t="s">
        <v>219</v>
      </c>
      <c r="F334" s="24" t="s">
        <v>529</v>
      </c>
      <c r="G334" s="26">
        <f>G335+G336</f>
        <v>790.67511999999999</v>
      </c>
      <c r="H334" s="26">
        <f>H335+H336</f>
        <v>788.44510000000002</v>
      </c>
    </row>
    <row r="335" spans="1:8" ht="31.2" x14ac:dyDescent="0.3">
      <c r="A335" s="22" t="s">
        <v>18</v>
      </c>
      <c r="B335" s="23"/>
      <c r="C335" s="24" t="s">
        <v>423</v>
      </c>
      <c r="D335" s="24" t="s">
        <v>421</v>
      </c>
      <c r="E335" s="25" t="s">
        <v>220</v>
      </c>
      <c r="F335" s="24">
        <v>200</v>
      </c>
      <c r="G335" s="26">
        <v>709.67511999999999</v>
      </c>
      <c r="H335" s="26">
        <v>707.44510000000002</v>
      </c>
    </row>
    <row r="336" spans="1:8" ht="62.4" x14ac:dyDescent="0.3">
      <c r="A336" s="22" t="s">
        <v>51</v>
      </c>
      <c r="B336" s="23"/>
      <c r="C336" s="24" t="s">
        <v>423</v>
      </c>
      <c r="D336" s="24" t="s">
        <v>421</v>
      </c>
      <c r="E336" s="25" t="s">
        <v>220</v>
      </c>
      <c r="F336" s="24">
        <v>600</v>
      </c>
      <c r="G336" s="26">
        <v>81</v>
      </c>
      <c r="H336" s="26">
        <v>81</v>
      </c>
    </row>
    <row r="337" spans="1:10" ht="46.8" x14ac:dyDescent="0.3">
      <c r="A337" s="22" t="s">
        <v>221</v>
      </c>
      <c r="B337" s="23"/>
      <c r="C337" s="24" t="s">
        <v>423</v>
      </c>
      <c r="D337" s="24" t="s">
        <v>421</v>
      </c>
      <c r="E337" s="25" t="s">
        <v>222</v>
      </c>
      <c r="F337" s="24" t="s">
        <v>529</v>
      </c>
      <c r="G337" s="26">
        <f>G338+G339+G340</f>
        <v>6353.8253000000004</v>
      </c>
      <c r="H337" s="26">
        <f>H338+H339+H340</f>
        <v>6279.4285300000001</v>
      </c>
    </row>
    <row r="338" spans="1:10" ht="31.2" x14ac:dyDescent="0.3">
      <c r="A338" s="22" t="s">
        <v>18</v>
      </c>
      <c r="B338" s="23"/>
      <c r="C338" s="24" t="s">
        <v>423</v>
      </c>
      <c r="D338" s="24" t="s">
        <v>421</v>
      </c>
      <c r="E338" s="25" t="s">
        <v>223</v>
      </c>
      <c r="F338" s="24">
        <v>200</v>
      </c>
      <c r="G338" s="26">
        <v>2002.9653000000001</v>
      </c>
      <c r="H338" s="26">
        <v>1928.56853</v>
      </c>
    </row>
    <row r="339" spans="1:10" ht="62.4" x14ac:dyDescent="0.3">
      <c r="A339" s="22" t="s">
        <v>51</v>
      </c>
      <c r="B339" s="23"/>
      <c r="C339" s="24" t="s">
        <v>423</v>
      </c>
      <c r="D339" s="24" t="s">
        <v>421</v>
      </c>
      <c r="E339" s="25" t="s">
        <v>223</v>
      </c>
      <c r="F339" s="24">
        <v>600</v>
      </c>
      <c r="G339" s="26">
        <v>465.71</v>
      </c>
      <c r="H339" s="26">
        <v>465.71</v>
      </c>
    </row>
    <row r="340" spans="1:10" ht="31.2" x14ac:dyDescent="0.3">
      <c r="A340" s="22" t="s">
        <v>18</v>
      </c>
      <c r="B340" s="23"/>
      <c r="C340" s="24" t="s">
        <v>423</v>
      </c>
      <c r="D340" s="24" t="s">
        <v>421</v>
      </c>
      <c r="E340" s="25" t="s">
        <v>498</v>
      </c>
      <c r="F340" s="24">
        <v>200</v>
      </c>
      <c r="G340" s="26">
        <v>3885.15</v>
      </c>
      <c r="H340" s="26">
        <v>3885.15</v>
      </c>
    </row>
    <row r="341" spans="1:10" ht="46.8" x14ac:dyDescent="0.3">
      <c r="A341" s="22" t="s">
        <v>499</v>
      </c>
      <c r="B341" s="23"/>
      <c r="C341" s="24" t="s">
        <v>423</v>
      </c>
      <c r="D341" s="24" t="s">
        <v>421</v>
      </c>
      <c r="E341" s="25" t="s">
        <v>500</v>
      </c>
      <c r="F341" s="24" t="s">
        <v>529</v>
      </c>
      <c r="G341" s="26">
        <f>G342</f>
        <v>70.733760000000004</v>
      </c>
      <c r="H341" s="26">
        <f>H342</f>
        <v>70.715440000000001</v>
      </c>
    </row>
    <row r="342" spans="1:10" ht="31.2" x14ac:dyDescent="0.3">
      <c r="A342" s="22" t="s">
        <v>18</v>
      </c>
      <c r="B342" s="23"/>
      <c r="C342" s="24" t="s">
        <v>423</v>
      </c>
      <c r="D342" s="24" t="s">
        <v>421</v>
      </c>
      <c r="E342" s="25" t="s">
        <v>500</v>
      </c>
      <c r="F342" s="24">
        <v>200</v>
      </c>
      <c r="G342" s="26">
        <v>70.733760000000004</v>
      </c>
      <c r="H342" s="26">
        <v>70.715440000000001</v>
      </c>
    </row>
    <row r="343" spans="1:10" x14ac:dyDescent="0.3">
      <c r="A343" s="17" t="s">
        <v>178</v>
      </c>
      <c r="B343" s="18"/>
      <c r="C343" s="20" t="s">
        <v>423</v>
      </c>
      <c r="D343" s="20" t="s">
        <v>421</v>
      </c>
      <c r="E343" s="19" t="s">
        <v>179</v>
      </c>
      <c r="F343" s="20" t="s">
        <v>529</v>
      </c>
      <c r="G343" s="21">
        <f>G344+G346</f>
        <v>161.16849999999999</v>
      </c>
      <c r="H343" s="21">
        <f>H344+H346</f>
        <v>161.16849999999999</v>
      </c>
    </row>
    <row r="344" spans="1:10" ht="62.4" x14ac:dyDescent="0.3">
      <c r="A344" s="22" t="s">
        <v>570</v>
      </c>
      <c r="B344" s="23"/>
      <c r="C344" s="24" t="s">
        <v>421</v>
      </c>
      <c r="D344" s="24" t="s">
        <v>421</v>
      </c>
      <c r="E344" s="25" t="s">
        <v>569</v>
      </c>
      <c r="F344" s="24" t="s">
        <v>529</v>
      </c>
      <c r="G344" s="26">
        <f>G345</f>
        <v>48.837499999999999</v>
      </c>
      <c r="H344" s="26">
        <f>H345</f>
        <v>48.837499999999999</v>
      </c>
    </row>
    <row r="345" spans="1:10" ht="31.2" x14ac:dyDescent="0.3">
      <c r="A345" s="22" t="s">
        <v>18</v>
      </c>
      <c r="B345" s="23"/>
      <c r="C345" s="24" t="s">
        <v>421</v>
      </c>
      <c r="D345" s="24" t="s">
        <v>421</v>
      </c>
      <c r="E345" s="25" t="s">
        <v>569</v>
      </c>
      <c r="F345" s="24" t="s">
        <v>394</v>
      </c>
      <c r="G345" s="26">
        <v>48.837499999999999</v>
      </c>
      <c r="H345" s="26">
        <v>48.837499999999999</v>
      </c>
    </row>
    <row r="346" spans="1:10" ht="31.2" x14ac:dyDescent="0.3">
      <c r="A346" s="22" t="s">
        <v>432</v>
      </c>
      <c r="B346" s="23"/>
      <c r="C346" s="24" t="s">
        <v>423</v>
      </c>
      <c r="D346" s="24" t="s">
        <v>421</v>
      </c>
      <c r="E346" s="25" t="s">
        <v>232</v>
      </c>
      <c r="F346" s="24" t="s">
        <v>529</v>
      </c>
      <c r="G346" s="26">
        <f>G347</f>
        <v>112.331</v>
      </c>
      <c r="H346" s="26">
        <f>H347</f>
        <v>112.331</v>
      </c>
    </row>
    <row r="347" spans="1:10" ht="31.2" x14ac:dyDescent="0.3">
      <c r="A347" s="22" t="s">
        <v>18</v>
      </c>
      <c r="B347" s="23"/>
      <c r="C347" s="24" t="s">
        <v>423</v>
      </c>
      <c r="D347" s="24" t="s">
        <v>421</v>
      </c>
      <c r="E347" s="25" t="s">
        <v>232</v>
      </c>
      <c r="F347" s="24" t="s">
        <v>394</v>
      </c>
      <c r="G347" s="26">
        <v>112.331</v>
      </c>
      <c r="H347" s="26">
        <v>112.331</v>
      </c>
    </row>
    <row r="348" spans="1:10" ht="46.8" x14ac:dyDescent="0.3">
      <c r="A348" s="17" t="s">
        <v>555</v>
      </c>
      <c r="B348" s="18"/>
      <c r="C348" s="20" t="s">
        <v>423</v>
      </c>
      <c r="D348" s="20" t="s">
        <v>423</v>
      </c>
      <c r="E348" s="19" t="s">
        <v>224</v>
      </c>
      <c r="F348" s="20" t="s">
        <v>529</v>
      </c>
      <c r="G348" s="21">
        <f>G349</f>
        <v>6753.21</v>
      </c>
      <c r="H348" s="21">
        <f>H349</f>
        <v>6753.21</v>
      </c>
    </row>
    <row r="349" spans="1:10" x14ac:dyDescent="0.3">
      <c r="A349" s="22" t="s">
        <v>225</v>
      </c>
      <c r="B349" s="23"/>
      <c r="C349" s="24" t="s">
        <v>423</v>
      </c>
      <c r="D349" s="24" t="s">
        <v>423</v>
      </c>
      <c r="E349" s="25" t="s">
        <v>224</v>
      </c>
      <c r="F349" s="24" t="s">
        <v>529</v>
      </c>
      <c r="G349" s="26">
        <f>G350</f>
        <v>6753.21</v>
      </c>
      <c r="H349" s="26">
        <f>H350</f>
        <v>6753.21</v>
      </c>
    </row>
    <row r="350" spans="1:10" ht="62.4" x14ac:dyDescent="0.3">
      <c r="A350" s="22" t="s">
        <v>51</v>
      </c>
      <c r="B350" s="23"/>
      <c r="C350" s="24" t="s">
        <v>423</v>
      </c>
      <c r="D350" s="24" t="s">
        <v>423</v>
      </c>
      <c r="E350" s="25" t="s">
        <v>226</v>
      </c>
      <c r="F350" s="24">
        <v>600</v>
      </c>
      <c r="G350" s="26">
        <v>6753.21</v>
      </c>
      <c r="H350" s="26">
        <v>6753.21</v>
      </c>
      <c r="J350" s="27"/>
    </row>
    <row r="351" spans="1:10" ht="109.2" x14ac:dyDescent="0.3">
      <c r="A351" s="17" t="s">
        <v>227</v>
      </c>
      <c r="B351" s="28" t="s">
        <v>571</v>
      </c>
      <c r="C351" s="20"/>
      <c r="D351" s="20"/>
      <c r="E351" s="19"/>
      <c r="F351" s="20"/>
      <c r="G351" s="21">
        <f>G352+G367</f>
        <v>127467.51817</v>
      </c>
      <c r="H351" s="21">
        <f>H352+H367</f>
        <v>126732.97891999999</v>
      </c>
    </row>
    <row r="352" spans="1:10" x14ac:dyDescent="0.3">
      <c r="A352" s="17" t="s">
        <v>129</v>
      </c>
      <c r="B352" s="18"/>
      <c r="C352" s="20" t="s">
        <v>425</v>
      </c>
      <c r="D352" s="20"/>
      <c r="E352" s="19"/>
      <c r="F352" s="20"/>
      <c r="G352" s="21">
        <f>G353+G363</f>
        <v>34481.429999999993</v>
      </c>
      <c r="H352" s="21">
        <f>H353+H363</f>
        <v>34481.429999999993</v>
      </c>
    </row>
    <row r="353" spans="1:8" ht="31.2" x14ac:dyDescent="0.3">
      <c r="A353" s="17" t="s">
        <v>135</v>
      </c>
      <c r="B353" s="18"/>
      <c r="C353" s="20" t="s">
        <v>425</v>
      </c>
      <c r="D353" s="20" t="s">
        <v>421</v>
      </c>
      <c r="E353" s="19" t="s">
        <v>9</v>
      </c>
      <c r="F353" s="20">
        <v>0</v>
      </c>
      <c r="G353" s="21">
        <f>G354+G360</f>
        <v>34481.429999999993</v>
      </c>
      <c r="H353" s="21">
        <f>H354+H360</f>
        <v>34481.429999999993</v>
      </c>
    </row>
    <row r="354" spans="1:8" ht="62.4" x14ac:dyDescent="0.3">
      <c r="A354" s="17" t="s">
        <v>228</v>
      </c>
      <c r="B354" s="18"/>
      <c r="C354" s="20" t="s">
        <v>425</v>
      </c>
      <c r="D354" s="20" t="s">
        <v>421</v>
      </c>
      <c r="E354" s="19" t="s">
        <v>501</v>
      </c>
      <c r="F354" s="20" t="s">
        <v>529</v>
      </c>
      <c r="G354" s="21">
        <f>G355+G357</f>
        <v>34341.899999999994</v>
      </c>
      <c r="H354" s="21">
        <f>H355+H357</f>
        <v>34341.899999999994</v>
      </c>
    </row>
    <row r="355" spans="1:8" ht="31.2" x14ac:dyDescent="0.3">
      <c r="A355" s="22" t="s">
        <v>264</v>
      </c>
      <c r="B355" s="23"/>
      <c r="C355" s="24" t="s">
        <v>425</v>
      </c>
      <c r="D355" s="24" t="s">
        <v>421</v>
      </c>
      <c r="E355" s="25" t="s">
        <v>265</v>
      </c>
      <c r="F355" s="24" t="s">
        <v>529</v>
      </c>
      <c r="G355" s="26">
        <f>G356</f>
        <v>75</v>
      </c>
      <c r="H355" s="26">
        <f>H356</f>
        <v>75</v>
      </c>
    </row>
    <row r="356" spans="1:8" ht="31.2" x14ac:dyDescent="0.3">
      <c r="A356" s="22" t="s">
        <v>502</v>
      </c>
      <c r="B356" s="23"/>
      <c r="C356" s="24" t="s">
        <v>425</v>
      </c>
      <c r="D356" s="24" t="s">
        <v>421</v>
      </c>
      <c r="E356" s="25" t="s">
        <v>265</v>
      </c>
      <c r="F356" s="24">
        <v>600</v>
      </c>
      <c r="G356" s="26">
        <v>75</v>
      </c>
      <c r="H356" s="26">
        <v>75</v>
      </c>
    </row>
    <row r="357" spans="1:8" ht="46.8" x14ac:dyDescent="0.3">
      <c r="A357" s="22" t="s">
        <v>229</v>
      </c>
      <c r="B357" s="23"/>
      <c r="C357" s="24" t="s">
        <v>425</v>
      </c>
      <c r="D357" s="24" t="s">
        <v>421</v>
      </c>
      <c r="E357" s="25" t="s">
        <v>230</v>
      </c>
      <c r="F357" s="24" t="s">
        <v>529</v>
      </c>
      <c r="G357" s="26">
        <f>G358+G359</f>
        <v>34266.899999999994</v>
      </c>
      <c r="H357" s="26">
        <f>H358+H359</f>
        <v>34266.899999999994</v>
      </c>
    </row>
    <row r="358" spans="1:8" ht="62.4" x14ac:dyDescent="0.3">
      <c r="A358" s="22" t="s">
        <v>51</v>
      </c>
      <c r="B358" s="23"/>
      <c r="C358" s="24" t="s">
        <v>425</v>
      </c>
      <c r="D358" s="24" t="s">
        <v>421</v>
      </c>
      <c r="E358" s="25" t="s">
        <v>503</v>
      </c>
      <c r="F358" s="24">
        <v>600</v>
      </c>
      <c r="G358" s="26">
        <f>4826.2+4586.4</f>
        <v>9412.5999999999985</v>
      </c>
      <c r="H358" s="26">
        <f>4826.2+4586.4</f>
        <v>9412.5999999999985</v>
      </c>
    </row>
    <row r="359" spans="1:8" ht="62.4" x14ac:dyDescent="0.3">
      <c r="A359" s="22" t="s">
        <v>51</v>
      </c>
      <c r="B359" s="23"/>
      <c r="C359" s="24" t="s">
        <v>425</v>
      </c>
      <c r="D359" s="24" t="s">
        <v>421</v>
      </c>
      <c r="E359" s="25" t="s">
        <v>231</v>
      </c>
      <c r="F359" s="24">
        <v>600</v>
      </c>
      <c r="G359" s="26">
        <f>12333.66+12520.64</f>
        <v>24854.3</v>
      </c>
      <c r="H359" s="26">
        <f>12333.66+12520.64</f>
        <v>24854.3</v>
      </c>
    </row>
    <row r="360" spans="1:8" x14ac:dyDescent="0.3">
      <c r="A360" s="17" t="s">
        <v>178</v>
      </c>
      <c r="B360" s="18"/>
      <c r="C360" s="20" t="s">
        <v>425</v>
      </c>
      <c r="D360" s="20" t="s">
        <v>421</v>
      </c>
      <c r="E360" s="19" t="s">
        <v>179</v>
      </c>
      <c r="F360" s="20" t="s">
        <v>529</v>
      </c>
      <c r="G360" s="21">
        <f>G361</f>
        <v>139.53</v>
      </c>
      <c r="H360" s="21">
        <f>H361</f>
        <v>139.53</v>
      </c>
    </row>
    <row r="361" spans="1:8" ht="31.2" x14ac:dyDescent="0.3">
      <c r="A361" s="22" t="s">
        <v>432</v>
      </c>
      <c r="B361" s="23"/>
      <c r="C361" s="24" t="s">
        <v>425</v>
      </c>
      <c r="D361" s="24" t="s">
        <v>421</v>
      </c>
      <c r="E361" s="25" t="s">
        <v>232</v>
      </c>
      <c r="F361" s="24" t="s">
        <v>529</v>
      </c>
      <c r="G361" s="26">
        <f>G362:H362</f>
        <v>139.53</v>
      </c>
      <c r="H361" s="26">
        <f>H362:I362</f>
        <v>139.53</v>
      </c>
    </row>
    <row r="362" spans="1:8" ht="62.4" x14ac:dyDescent="0.3">
      <c r="A362" s="22" t="s">
        <v>51</v>
      </c>
      <c r="B362" s="23"/>
      <c r="C362" s="24" t="s">
        <v>425</v>
      </c>
      <c r="D362" s="24" t="s">
        <v>421</v>
      </c>
      <c r="E362" s="25" t="s">
        <v>232</v>
      </c>
      <c r="F362" s="24" t="s">
        <v>402</v>
      </c>
      <c r="G362" s="26">
        <f>109.53+30</f>
        <v>139.53</v>
      </c>
      <c r="H362" s="26">
        <f>109.53+30</f>
        <v>139.53</v>
      </c>
    </row>
    <row r="363" spans="1:8" x14ac:dyDescent="0.3">
      <c r="A363" s="17" t="s">
        <v>233</v>
      </c>
      <c r="B363" s="18"/>
      <c r="C363" s="20" t="s">
        <v>425</v>
      </c>
      <c r="D363" s="20" t="s">
        <v>425</v>
      </c>
      <c r="E363" s="19" t="s">
        <v>9</v>
      </c>
      <c r="F363" s="20" t="s">
        <v>529</v>
      </c>
      <c r="G363" s="21">
        <f t="shared" ref="G363:H365" si="5">G364</f>
        <v>0</v>
      </c>
      <c r="H363" s="21">
        <f t="shared" si="5"/>
        <v>0</v>
      </c>
    </row>
    <row r="364" spans="1:8" ht="93.6" x14ac:dyDescent="0.3">
      <c r="A364" s="17" t="s">
        <v>559</v>
      </c>
      <c r="B364" s="18"/>
      <c r="C364" s="20" t="s">
        <v>425</v>
      </c>
      <c r="D364" s="20" t="s">
        <v>425</v>
      </c>
      <c r="E364" s="19" t="s">
        <v>235</v>
      </c>
      <c r="F364" s="20" t="s">
        <v>529</v>
      </c>
      <c r="G364" s="21">
        <f t="shared" si="5"/>
        <v>0</v>
      </c>
      <c r="H364" s="21">
        <f t="shared" si="5"/>
        <v>0</v>
      </c>
    </row>
    <row r="365" spans="1:8" ht="31.2" x14ac:dyDescent="0.3">
      <c r="A365" s="22" t="s">
        <v>502</v>
      </c>
      <c r="B365" s="23"/>
      <c r="C365" s="24" t="s">
        <v>425</v>
      </c>
      <c r="D365" s="24" t="s">
        <v>425</v>
      </c>
      <c r="E365" s="25" t="s">
        <v>237</v>
      </c>
      <c r="F365" s="24" t="s">
        <v>529</v>
      </c>
      <c r="G365" s="26">
        <f t="shared" si="5"/>
        <v>0</v>
      </c>
      <c r="H365" s="26">
        <f t="shared" si="5"/>
        <v>0</v>
      </c>
    </row>
    <row r="366" spans="1:8" ht="62.4" x14ac:dyDescent="0.3">
      <c r="A366" s="22" t="s">
        <v>51</v>
      </c>
      <c r="B366" s="23"/>
      <c r="C366" s="24" t="s">
        <v>425</v>
      </c>
      <c r="D366" s="24" t="s">
        <v>425</v>
      </c>
      <c r="E366" s="25" t="s">
        <v>237</v>
      </c>
      <c r="F366" s="24">
        <v>600</v>
      </c>
      <c r="G366" s="26">
        <v>0</v>
      </c>
      <c r="H366" s="26">
        <v>0</v>
      </c>
    </row>
    <row r="367" spans="1:8" x14ac:dyDescent="0.3">
      <c r="A367" s="17" t="s">
        <v>238</v>
      </c>
      <c r="B367" s="18"/>
      <c r="C367" s="20" t="s">
        <v>426</v>
      </c>
      <c r="D367" s="20"/>
      <c r="E367" s="19"/>
      <c r="F367" s="20"/>
      <c r="G367" s="21">
        <f>G368+G404</f>
        <v>92986.088170000003</v>
      </c>
      <c r="H367" s="21">
        <f>H368+H404</f>
        <v>92251.548920000001</v>
      </c>
    </row>
    <row r="368" spans="1:8" ht="62.4" x14ac:dyDescent="0.3">
      <c r="A368" s="17" t="s">
        <v>228</v>
      </c>
      <c r="B368" s="18"/>
      <c r="C368" s="20" t="s">
        <v>426</v>
      </c>
      <c r="D368" s="20" t="s">
        <v>391</v>
      </c>
      <c r="E368" s="19" t="s">
        <v>9</v>
      </c>
      <c r="F368" s="20" t="s">
        <v>529</v>
      </c>
      <c r="G368" s="21">
        <f>G369+G378+G383+G390+G399</f>
        <v>72279.591910000003</v>
      </c>
      <c r="H368" s="21">
        <f>H369+H378+H383+H390+H399</f>
        <v>72153.619180000009</v>
      </c>
    </row>
    <row r="369" spans="1:8" x14ac:dyDescent="0.3">
      <c r="A369" s="17" t="s">
        <v>239</v>
      </c>
      <c r="B369" s="18"/>
      <c r="C369" s="20" t="s">
        <v>426</v>
      </c>
      <c r="D369" s="20" t="s">
        <v>391</v>
      </c>
      <c r="E369" s="19" t="s">
        <v>240</v>
      </c>
      <c r="F369" s="20" t="s">
        <v>529</v>
      </c>
      <c r="G369" s="21">
        <f>G370+G372+G374+G376</f>
        <v>21848.26757</v>
      </c>
      <c r="H369" s="21">
        <f>H370+H372+H374+H376</f>
        <v>21848.26757</v>
      </c>
    </row>
    <row r="370" spans="1:8" ht="31.2" x14ac:dyDescent="0.3">
      <c r="A370" s="22" t="s">
        <v>241</v>
      </c>
      <c r="B370" s="23"/>
      <c r="C370" s="24" t="s">
        <v>426</v>
      </c>
      <c r="D370" s="24" t="s">
        <v>391</v>
      </c>
      <c r="E370" s="25" t="s">
        <v>242</v>
      </c>
      <c r="F370" s="24" t="s">
        <v>529</v>
      </c>
      <c r="G370" s="26">
        <f>G371</f>
        <v>15748.20811</v>
      </c>
      <c r="H370" s="26">
        <f>H371</f>
        <v>15748.20811</v>
      </c>
    </row>
    <row r="371" spans="1:8" ht="62.4" x14ac:dyDescent="0.3">
      <c r="A371" s="22" t="s">
        <v>51</v>
      </c>
      <c r="B371" s="23"/>
      <c r="C371" s="24" t="s">
        <v>426</v>
      </c>
      <c r="D371" s="24" t="s">
        <v>391</v>
      </c>
      <c r="E371" s="25" t="s">
        <v>242</v>
      </c>
      <c r="F371" s="24">
        <v>600</v>
      </c>
      <c r="G371" s="26">
        <v>15748.20811</v>
      </c>
      <c r="H371" s="26">
        <v>15748.20811</v>
      </c>
    </row>
    <row r="372" spans="1:8" ht="78" x14ac:dyDescent="0.3">
      <c r="A372" s="22" t="s">
        <v>175</v>
      </c>
      <c r="B372" s="23"/>
      <c r="C372" s="24" t="s">
        <v>426</v>
      </c>
      <c r="D372" s="24" t="s">
        <v>391</v>
      </c>
      <c r="E372" s="25" t="s">
        <v>243</v>
      </c>
      <c r="F372" s="24" t="s">
        <v>529</v>
      </c>
      <c r="G372" s="26">
        <f>G373</f>
        <v>5964.2</v>
      </c>
      <c r="H372" s="26">
        <f>H373</f>
        <v>5964.2</v>
      </c>
    </row>
    <row r="373" spans="1:8" ht="62.4" x14ac:dyDescent="0.3">
      <c r="A373" s="22" t="s">
        <v>51</v>
      </c>
      <c r="B373" s="23"/>
      <c r="C373" s="24" t="s">
        <v>426</v>
      </c>
      <c r="D373" s="24" t="s">
        <v>391</v>
      </c>
      <c r="E373" s="25" t="s">
        <v>243</v>
      </c>
      <c r="F373" s="24">
        <v>600</v>
      </c>
      <c r="G373" s="26">
        <v>5964.2</v>
      </c>
      <c r="H373" s="26">
        <v>5964.2</v>
      </c>
    </row>
    <row r="374" spans="1:8" ht="46.8" x14ac:dyDescent="0.3">
      <c r="A374" s="22" t="s">
        <v>244</v>
      </c>
      <c r="B374" s="23"/>
      <c r="C374" s="24" t="s">
        <v>426</v>
      </c>
      <c r="D374" s="24" t="s">
        <v>391</v>
      </c>
      <c r="E374" s="25" t="s">
        <v>245</v>
      </c>
      <c r="F374" s="24" t="s">
        <v>529</v>
      </c>
      <c r="G374" s="26">
        <f>G375</f>
        <v>71.959460000000007</v>
      </c>
      <c r="H374" s="26">
        <f>H375</f>
        <v>71.959460000000007</v>
      </c>
    </row>
    <row r="375" spans="1:8" ht="62.4" x14ac:dyDescent="0.3">
      <c r="A375" s="22" t="s">
        <v>51</v>
      </c>
      <c r="B375" s="23"/>
      <c r="C375" s="24" t="s">
        <v>426</v>
      </c>
      <c r="D375" s="24" t="s">
        <v>391</v>
      </c>
      <c r="E375" s="25" t="s">
        <v>245</v>
      </c>
      <c r="F375" s="24">
        <v>600</v>
      </c>
      <c r="G375" s="26">
        <v>71.959460000000007</v>
      </c>
      <c r="H375" s="26">
        <v>71.959460000000007</v>
      </c>
    </row>
    <row r="376" spans="1:8" ht="62.4" x14ac:dyDescent="0.3">
      <c r="A376" s="22" t="s">
        <v>246</v>
      </c>
      <c r="B376" s="23"/>
      <c r="C376" s="24" t="s">
        <v>426</v>
      </c>
      <c r="D376" s="24" t="s">
        <v>391</v>
      </c>
      <c r="E376" s="25" t="s">
        <v>247</v>
      </c>
      <c r="F376" s="24" t="s">
        <v>529</v>
      </c>
      <c r="G376" s="26">
        <f>G377</f>
        <v>63.9</v>
      </c>
      <c r="H376" s="26">
        <f>H377</f>
        <v>63.9</v>
      </c>
    </row>
    <row r="377" spans="1:8" ht="62.4" x14ac:dyDescent="0.3">
      <c r="A377" s="22" t="s">
        <v>51</v>
      </c>
      <c r="B377" s="23"/>
      <c r="C377" s="24" t="s">
        <v>426</v>
      </c>
      <c r="D377" s="24" t="s">
        <v>391</v>
      </c>
      <c r="E377" s="25" t="s">
        <v>247</v>
      </c>
      <c r="F377" s="24">
        <v>600</v>
      </c>
      <c r="G377" s="26">
        <v>63.9</v>
      </c>
      <c r="H377" s="26">
        <v>63.9</v>
      </c>
    </row>
    <row r="378" spans="1:8" x14ac:dyDescent="0.3">
      <c r="A378" s="17" t="s">
        <v>248</v>
      </c>
      <c r="B378" s="18"/>
      <c r="C378" s="20" t="s">
        <v>426</v>
      </c>
      <c r="D378" s="20" t="s">
        <v>391</v>
      </c>
      <c r="E378" s="19" t="s">
        <v>249</v>
      </c>
      <c r="F378" s="20" t="s">
        <v>529</v>
      </c>
      <c r="G378" s="21">
        <f>G379+G381</f>
        <v>5154.8600000000006</v>
      </c>
      <c r="H378" s="21">
        <f>H379+H381</f>
        <v>5154.8600000000006</v>
      </c>
    </row>
    <row r="379" spans="1:8" ht="31.2" x14ac:dyDescent="0.3">
      <c r="A379" s="22" t="s">
        <v>250</v>
      </c>
      <c r="B379" s="23"/>
      <c r="C379" s="24" t="s">
        <v>426</v>
      </c>
      <c r="D379" s="24" t="s">
        <v>391</v>
      </c>
      <c r="E379" s="25" t="s">
        <v>251</v>
      </c>
      <c r="F379" s="24" t="s">
        <v>529</v>
      </c>
      <c r="G379" s="26">
        <f>G380</f>
        <v>3972.86</v>
      </c>
      <c r="H379" s="26">
        <f>H380</f>
        <v>3972.86</v>
      </c>
    </row>
    <row r="380" spans="1:8" ht="62.4" x14ac:dyDescent="0.3">
      <c r="A380" s="22" t="s">
        <v>51</v>
      </c>
      <c r="B380" s="23"/>
      <c r="C380" s="24" t="s">
        <v>426</v>
      </c>
      <c r="D380" s="24" t="s">
        <v>391</v>
      </c>
      <c r="E380" s="25" t="s">
        <v>251</v>
      </c>
      <c r="F380" s="24">
        <v>600</v>
      </c>
      <c r="G380" s="26">
        <v>3972.86</v>
      </c>
      <c r="H380" s="26">
        <v>3972.86</v>
      </c>
    </row>
    <row r="381" spans="1:8" ht="78" x14ac:dyDescent="0.3">
      <c r="A381" s="22" t="s">
        <v>175</v>
      </c>
      <c r="B381" s="23"/>
      <c r="C381" s="24" t="s">
        <v>426</v>
      </c>
      <c r="D381" s="24" t="s">
        <v>391</v>
      </c>
      <c r="E381" s="25" t="s">
        <v>252</v>
      </c>
      <c r="F381" s="24" t="s">
        <v>529</v>
      </c>
      <c r="G381" s="26">
        <f>G382</f>
        <v>1182</v>
      </c>
      <c r="H381" s="26">
        <f>H382</f>
        <v>1182</v>
      </c>
    </row>
    <row r="382" spans="1:8" ht="62.4" x14ac:dyDescent="0.3">
      <c r="A382" s="22" t="s">
        <v>51</v>
      </c>
      <c r="B382" s="23"/>
      <c r="C382" s="24" t="s">
        <v>426</v>
      </c>
      <c r="D382" s="24" t="s">
        <v>391</v>
      </c>
      <c r="E382" s="25" t="s">
        <v>252</v>
      </c>
      <c r="F382" s="24">
        <v>600</v>
      </c>
      <c r="G382" s="26">
        <v>1182</v>
      </c>
      <c r="H382" s="26">
        <v>1182</v>
      </c>
    </row>
    <row r="383" spans="1:8" x14ac:dyDescent="0.3">
      <c r="A383" s="17" t="s">
        <v>253</v>
      </c>
      <c r="B383" s="18"/>
      <c r="C383" s="20" t="s">
        <v>426</v>
      </c>
      <c r="D383" s="20" t="s">
        <v>391</v>
      </c>
      <c r="E383" s="19" t="s">
        <v>254</v>
      </c>
      <c r="F383" s="20" t="s">
        <v>529</v>
      </c>
      <c r="G383" s="21">
        <f>G384+G386+G388</f>
        <v>35016.536330000003</v>
      </c>
      <c r="H383" s="21">
        <f>H384+H386+H388</f>
        <v>35016.536330000003</v>
      </c>
    </row>
    <row r="384" spans="1:8" ht="31.2" x14ac:dyDescent="0.3">
      <c r="A384" s="22" t="s">
        <v>255</v>
      </c>
      <c r="B384" s="23"/>
      <c r="C384" s="24" t="s">
        <v>426</v>
      </c>
      <c r="D384" s="24" t="s">
        <v>391</v>
      </c>
      <c r="E384" s="25" t="s">
        <v>256</v>
      </c>
      <c r="F384" s="24" t="s">
        <v>529</v>
      </c>
      <c r="G384" s="26">
        <f>G385</f>
        <v>25949.536329999999</v>
      </c>
      <c r="H384" s="26">
        <f>H385</f>
        <v>25949.536329999999</v>
      </c>
    </row>
    <row r="385" spans="1:8" ht="62.4" x14ac:dyDescent="0.3">
      <c r="A385" s="22" t="s">
        <v>51</v>
      </c>
      <c r="B385" s="23"/>
      <c r="C385" s="24" t="s">
        <v>426</v>
      </c>
      <c r="D385" s="24" t="s">
        <v>391</v>
      </c>
      <c r="E385" s="25" t="s">
        <v>256</v>
      </c>
      <c r="F385" s="24">
        <v>600</v>
      </c>
      <c r="G385" s="26">
        <v>25949.536329999999</v>
      </c>
      <c r="H385" s="26">
        <v>25949.536329999999</v>
      </c>
    </row>
    <row r="386" spans="1:8" ht="78" x14ac:dyDescent="0.3">
      <c r="A386" s="22" t="s">
        <v>175</v>
      </c>
      <c r="B386" s="23"/>
      <c r="C386" s="24" t="s">
        <v>426</v>
      </c>
      <c r="D386" s="24" t="s">
        <v>391</v>
      </c>
      <c r="E386" s="25" t="s">
        <v>257</v>
      </c>
      <c r="F386" s="24" t="s">
        <v>529</v>
      </c>
      <c r="G386" s="26">
        <f>G387</f>
        <v>9065.2000000000007</v>
      </c>
      <c r="H386" s="26">
        <f>H387</f>
        <v>9065.2000000000007</v>
      </c>
    </row>
    <row r="387" spans="1:8" ht="62.4" x14ac:dyDescent="0.3">
      <c r="A387" s="22" t="s">
        <v>51</v>
      </c>
      <c r="B387" s="23"/>
      <c r="C387" s="24" t="s">
        <v>426</v>
      </c>
      <c r="D387" s="24" t="s">
        <v>391</v>
      </c>
      <c r="E387" s="25" t="s">
        <v>257</v>
      </c>
      <c r="F387" s="24">
        <v>600</v>
      </c>
      <c r="G387" s="26">
        <v>9065.2000000000007</v>
      </c>
      <c r="H387" s="26">
        <v>9065.2000000000007</v>
      </c>
    </row>
    <row r="388" spans="1:8" ht="31.2" x14ac:dyDescent="0.3">
      <c r="A388" s="22" t="s">
        <v>141</v>
      </c>
      <c r="B388" s="23"/>
      <c r="C388" s="24" t="s">
        <v>426</v>
      </c>
      <c r="D388" s="24" t="s">
        <v>391</v>
      </c>
      <c r="E388" s="25" t="s">
        <v>142</v>
      </c>
      <c r="F388" s="24" t="s">
        <v>529</v>
      </c>
      <c r="G388" s="26">
        <v>1.8</v>
      </c>
      <c r="H388" s="26">
        <v>1.8</v>
      </c>
    </row>
    <row r="389" spans="1:8" ht="31.2" x14ac:dyDescent="0.3">
      <c r="A389" s="22" t="s">
        <v>77</v>
      </c>
      <c r="B389" s="23"/>
      <c r="C389" s="24" t="s">
        <v>426</v>
      </c>
      <c r="D389" s="24" t="s">
        <v>391</v>
      </c>
      <c r="E389" s="25" t="s">
        <v>142</v>
      </c>
      <c r="F389" s="24">
        <v>200</v>
      </c>
      <c r="G389" s="26">
        <v>1.8</v>
      </c>
      <c r="H389" s="26">
        <v>1.8</v>
      </c>
    </row>
    <row r="390" spans="1:8" x14ac:dyDescent="0.3">
      <c r="A390" s="17" t="s">
        <v>572</v>
      </c>
      <c r="B390" s="18"/>
      <c r="C390" s="20" t="s">
        <v>425</v>
      </c>
      <c r="D390" s="20" t="s">
        <v>391</v>
      </c>
      <c r="E390" s="19" t="s">
        <v>398</v>
      </c>
      <c r="F390" s="20" t="s">
        <v>529</v>
      </c>
      <c r="G390" s="21">
        <f>G391+G393+G395+G397</f>
        <v>9690.6880099999998</v>
      </c>
      <c r="H390" s="21">
        <f>H391+H393+H395+H397</f>
        <v>9564.7152800000003</v>
      </c>
    </row>
    <row r="391" spans="1:8" ht="46.8" x14ac:dyDescent="0.3">
      <c r="A391" s="22" t="s">
        <v>258</v>
      </c>
      <c r="B391" s="23"/>
      <c r="C391" s="24" t="s">
        <v>426</v>
      </c>
      <c r="D391" s="24" t="s">
        <v>391</v>
      </c>
      <c r="E391" s="25" t="s">
        <v>259</v>
      </c>
      <c r="F391" s="24" t="s">
        <v>529</v>
      </c>
      <c r="G391" s="26">
        <f>G392</f>
        <v>143.91892999999999</v>
      </c>
      <c r="H391" s="26">
        <f>H392</f>
        <v>143.91892999999999</v>
      </c>
    </row>
    <row r="392" spans="1:8" ht="62.4" x14ac:dyDescent="0.3">
      <c r="A392" s="22" t="s">
        <v>51</v>
      </c>
      <c r="B392" s="23"/>
      <c r="C392" s="24" t="s">
        <v>426</v>
      </c>
      <c r="D392" s="24" t="s">
        <v>391</v>
      </c>
      <c r="E392" s="25" t="s">
        <v>504</v>
      </c>
      <c r="F392" s="24">
        <v>600</v>
      </c>
      <c r="G392" s="26">
        <v>143.91892999999999</v>
      </c>
      <c r="H392" s="26">
        <v>143.91892999999999</v>
      </c>
    </row>
    <row r="393" spans="1:8" ht="62.4" x14ac:dyDescent="0.3">
      <c r="A393" s="22" t="s">
        <v>260</v>
      </c>
      <c r="B393" s="23"/>
      <c r="C393" s="24" t="s">
        <v>426</v>
      </c>
      <c r="D393" s="24" t="s">
        <v>391</v>
      </c>
      <c r="E393" s="25" t="s">
        <v>261</v>
      </c>
      <c r="F393" s="24" t="s">
        <v>529</v>
      </c>
      <c r="G393" s="26">
        <f>G394</f>
        <v>797.76908000000003</v>
      </c>
      <c r="H393" s="26">
        <f>H394</f>
        <v>671.79634999999996</v>
      </c>
    </row>
    <row r="394" spans="1:8" ht="62.4" x14ac:dyDescent="0.3">
      <c r="A394" s="22" t="s">
        <v>51</v>
      </c>
      <c r="B394" s="23"/>
      <c r="C394" s="24" t="s">
        <v>426</v>
      </c>
      <c r="D394" s="24" t="s">
        <v>391</v>
      </c>
      <c r="E394" s="25" t="s">
        <v>261</v>
      </c>
      <c r="F394" s="24">
        <v>600</v>
      </c>
      <c r="G394" s="26">
        <v>797.76908000000003</v>
      </c>
      <c r="H394" s="26">
        <v>671.79634999999996</v>
      </c>
    </row>
    <row r="395" spans="1:8" ht="31.2" x14ac:dyDescent="0.3">
      <c r="A395" s="22" t="s">
        <v>262</v>
      </c>
      <c r="B395" s="23"/>
      <c r="C395" s="24" t="s">
        <v>426</v>
      </c>
      <c r="D395" s="24" t="s">
        <v>391</v>
      </c>
      <c r="E395" s="25" t="s">
        <v>263</v>
      </c>
      <c r="F395" s="24" t="s">
        <v>529</v>
      </c>
      <c r="G395" s="26">
        <f>G396</f>
        <v>0</v>
      </c>
      <c r="H395" s="26">
        <f>H396</f>
        <v>0</v>
      </c>
    </row>
    <row r="396" spans="1:8" ht="62.4" x14ac:dyDescent="0.3">
      <c r="A396" s="22" t="s">
        <v>51</v>
      </c>
      <c r="B396" s="23"/>
      <c r="C396" s="24" t="s">
        <v>426</v>
      </c>
      <c r="D396" s="24" t="s">
        <v>391</v>
      </c>
      <c r="E396" s="25" t="s">
        <v>263</v>
      </c>
      <c r="F396" s="24">
        <v>600</v>
      </c>
      <c r="G396" s="26">
        <v>0</v>
      </c>
      <c r="H396" s="26">
        <v>0</v>
      </c>
    </row>
    <row r="397" spans="1:8" ht="31.2" x14ac:dyDescent="0.3">
      <c r="A397" s="22" t="s">
        <v>264</v>
      </c>
      <c r="B397" s="23"/>
      <c r="C397" s="24" t="s">
        <v>426</v>
      </c>
      <c r="D397" s="24" t="s">
        <v>391</v>
      </c>
      <c r="E397" s="25" t="s">
        <v>265</v>
      </c>
      <c r="F397" s="24" t="s">
        <v>529</v>
      </c>
      <c r="G397" s="26">
        <f>G398</f>
        <v>8749</v>
      </c>
      <c r="H397" s="26">
        <f>H398</f>
        <v>8749</v>
      </c>
    </row>
    <row r="398" spans="1:8" ht="62.4" x14ac:dyDescent="0.3">
      <c r="A398" s="22" t="s">
        <v>51</v>
      </c>
      <c r="B398" s="23"/>
      <c r="C398" s="24" t="s">
        <v>426</v>
      </c>
      <c r="D398" s="24" t="s">
        <v>391</v>
      </c>
      <c r="E398" s="25" t="s">
        <v>265</v>
      </c>
      <c r="F398" s="24">
        <v>600</v>
      </c>
      <c r="G398" s="26">
        <v>8749</v>
      </c>
      <c r="H398" s="26">
        <v>8749</v>
      </c>
    </row>
    <row r="399" spans="1:8" x14ac:dyDescent="0.3">
      <c r="A399" s="17" t="s">
        <v>178</v>
      </c>
      <c r="B399" s="18"/>
      <c r="C399" s="20" t="s">
        <v>426</v>
      </c>
      <c r="D399" s="20" t="s">
        <v>391</v>
      </c>
      <c r="E399" s="19" t="s">
        <v>179</v>
      </c>
      <c r="F399" s="20" t="s">
        <v>529</v>
      </c>
      <c r="G399" s="21">
        <f>G400+G402</f>
        <v>569.24</v>
      </c>
      <c r="H399" s="21">
        <f>H400+H402</f>
        <v>569.24</v>
      </c>
    </row>
    <row r="400" spans="1:8" ht="46.8" x14ac:dyDescent="0.3">
      <c r="A400" s="22" t="s">
        <v>53</v>
      </c>
      <c r="B400" s="23"/>
      <c r="C400" s="24" t="s">
        <v>426</v>
      </c>
      <c r="D400" s="24" t="s">
        <v>391</v>
      </c>
      <c r="E400" s="25" t="s">
        <v>54</v>
      </c>
      <c r="F400" s="24" t="s">
        <v>529</v>
      </c>
      <c r="G400" s="26">
        <f>G401</f>
        <v>170</v>
      </c>
      <c r="H400" s="26">
        <f>H401</f>
        <v>170</v>
      </c>
    </row>
    <row r="401" spans="1:8" ht="62.4" x14ac:dyDescent="0.3">
      <c r="A401" s="22" t="s">
        <v>51</v>
      </c>
      <c r="B401" s="23"/>
      <c r="C401" s="24" t="s">
        <v>426</v>
      </c>
      <c r="D401" s="24" t="s">
        <v>391</v>
      </c>
      <c r="E401" s="25" t="s">
        <v>54</v>
      </c>
      <c r="F401" s="24" t="s">
        <v>402</v>
      </c>
      <c r="G401" s="26">
        <v>170</v>
      </c>
      <c r="H401" s="26">
        <v>170</v>
      </c>
    </row>
    <row r="402" spans="1:8" ht="31.2" x14ac:dyDescent="0.3">
      <c r="A402" s="22" t="s">
        <v>432</v>
      </c>
      <c r="B402" s="23"/>
      <c r="C402" s="24" t="s">
        <v>426</v>
      </c>
      <c r="D402" s="24" t="s">
        <v>391</v>
      </c>
      <c r="E402" s="25" t="s">
        <v>232</v>
      </c>
      <c r="F402" s="24" t="s">
        <v>529</v>
      </c>
      <c r="G402" s="26">
        <f>G403</f>
        <v>399.24</v>
      </c>
      <c r="H402" s="26">
        <f>H403</f>
        <v>399.24</v>
      </c>
    </row>
    <row r="403" spans="1:8" ht="62.4" x14ac:dyDescent="0.3">
      <c r="A403" s="22" t="s">
        <v>51</v>
      </c>
      <c r="B403" s="23"/>
      <c r="C403" s="24" t="s">
        <v>426</v>
      </c>
      <c r="D403" s="24" t="s">
        <v>391</v>
      </c>
      <c r="E403" s="25" t="s">
        <v>232</v>
      </c>
      <c r="F403" s="24">
        <v>600</v>
      </c>
      <c r="G403" s="26">
        <v>399.24</v>
      </c>
      <c r="H403" s="26">
        <v>399.24</v>
      </c>
    </row>
    <row r="404" spans="1:8" ht="31.2" x14ac:dyDescent="0.3">
      <c r="A404" s="17" t="s">
        <v>266</v>
      </c>
      <c r="B404" s="18"/>
      <c r="C404" s="20" t="s">
        <v>426</v>
      </c>
      <c r="D404" s="20" t="s">
        <v>422</v>
      </c>
      <c r="E404" s="19" t="s">
        <v>9</v>
      </c>
      <c r="F404" s="20" t="s">
        <v>529</v>
      </c>
      <c r="G404" s="21">
        <f>G405</f>
        <v>20706.49626</v>
      </c>
      <c r="H404" s="21">
        <f>H405</f>
        <v>20097.92974</v>
      </c>
    </row>
    <row r="405" spans="1:8" ht="31.2" x14ac:dyDescent="0.3">
      <c r="A405" s="17" t="s">
        <v>574</v>
      </c>
      <c r="B405" s="18"/>
      <c r="C405" s="20" t="s">
        <v>426</v>
      </c>
      <c r="D405" s="20" t="s">
        <v>422</v>
      </c>
      <c r="E405" s="19" t="s">
        <v>573</v>
      </c>
      <c r="F405" s="20" t="s">
        <v>529</v>
      </c>
      <c r="G405" s="21">
        <f>G406+G410</f>
        <v>20706.49626</v>
      </c>
      <c r="H405" s="21">
        <f>H406+H410</f>
        <v>20097.92974</v>
      </c>
    </row>
    <row r="406" spans="1:8" ht="31.2" x14ac:dyDescent="0.3">
      <c r="A406" s="22" t="s">
        <v>267</v>
      </c>
      <c r="B406" s="23"/>
      <c r="C406" s="24" t="s">
        <v>426</v>
      </c>
      <c r="D406" s="24" t="s">
        <v>422</v>
      </c>
      <c r="E406" s="25" t="s">
        <v>403</v>
      </c>
      <c r="F406" s="24" t="s">
        <v>529</v>
      </c>
      <c r="G406" s="26">
        <f>G407+G408+G409</f>
        <v>13294.50426</v>
      </c>
      <c r="H406" s="26">
        <f>H407+H408+H409</f>
        <v>13246.07051</v>
      </c>
    </row>
    <row r="407" spans="1:8" ht="62.4" x14ac:dyDescent="0.3">
      <c r="A407" s="22" t="s">
        <v>12</v>
      </c>
      <c r="B407" s="23"/>
      <c r="C407" s="24" t="s">
        <v>426</v>
      </c>
      <c r="D407" s="24" t="s">
        <v>422</v>
      </c>
      <c r="E407" s="25" t="s">
        <v>404</v>
      </c>
      <c r="F407" s="24">
        <v>100</v>
      </c>
      <c r="G407" s="26">
        <f>7037.13286+0.13226+2110.21714</f>
        <v>9147.4822600000007</v>
      </c>
      <c r="H407" s="26">
        <f>7037.13286+0.13226+2109.42904</f>
        <v>9146.6941599999991</v>
      </c>
    </row>
    <row r="408" spans="1:8" ht="78" x14ac:dyDescent="0.3">
      <c r="A408" s="22" t="s">
        <v>175</v>
      </c>
      <c r="B408" s="23"/>
      <c r="C408" s="24" t="s">
        <v>426</v>
      </c>
      <c r="D408" s="24" t="s">
        <v>422</v>
      </c>
      <c r="E408" s="25" t="s">
        <v>405</v>
      </c>
      <c r="F408" s="24">
        <v>100</v>
      </c>
      <c r="G408" s="26">
        <f>3011+909.4</f>
        <v>3920.4</v>
      </c>
      <c r="H408" s="26">
        <f>3011+909.4</f>
        <v>3920.4</v>
      </c>
    </row>
    <row r="409" spans="1:8" ht="31.2" x14ac:dyDescent="0.3">
      <c r="A409" s="22" t="s">
        <v>77</v>
      </c>
      <c r="B409" s="23"/>
      <c r="C409" s="24" t="s">
        <v>426</v>
      </c>
      <c r="D409" s="24" t="s">
        <v>422</v>
      </c>
      <c r="E409" s="25" t="s">
        <v>505</v>
      </c>
      <c r="F409" s="24">
        <v>200</v>
      </c>
      <c r="G409" s="26">
        <f>26.75+199.872</f>
        <v>226.62200000000001</v>
      </c>
      <c r="H409" s="26">
        <f>152.56284+26.41351</f>
        <v>178.97635</v>
      </c>
    </row>
    <row r="410" spans="1:8" ht="62.4" x14ac:dyDescent="0.3">
      <c r="A410" s="22" t="s">
        <v>268</v>
      </c>
      <c r="B410" s="23"/>
      <c r="C410" s="24" t="s">
        <v>426</v>
      </c>
      <c r="D410" s="24" t="s">
        <v>422</v>
      </c>
      <c r="E410" s="25" t="s">
        <v>269</v>
      </c>
      <c r="F410" s="24" t="s">
        <v>529</v>
      </c>
      <c r="G410" s="26">
        <f>G411+G412+G413</f>
        <v>7411.9920000000002</v>
      </c>
      <c r="H410" s="26">
        <f>H411+H412+H413</f>
        <v>6851.85923</v>
      </c>
    </row>
    <row r="411" spans="1:8" ht="62.4" x14ac:dyDescent="0.3">
      <c r="A411" s="22" t="s">
        <v>12</v>
      </c>
      <c r="B411" s="23"/>
      <c r="C411" s="24" t="s">
        <v>426</v>
      </c>
      <c r="D411" s="24" t="s">
        <v>422</v>
      </c>
      <c r="E411" s="25" t="s">
        <v>270</v>
      </c>
      <c r="F411" s="24">
        <v>100</v>
      </c>
      <c r="G411" s="26">
        <f>3800.17856+0.942+1137.12144</f>
        <v>4938.2420000000002</v>
      </c>
      <c r="H411" s="26">
        <f>3370.96289+0.942+1006.20434</f>
        <v>4378.10923</v>
      </c>
    </row>
    <row r="412" spans="1:8" ht="78" x14ac:dyDescent="0.3">
      <c r="A412" s="22" t="s">
        <v>175</v>
      </c>
      <c r="B412" s="23"/>
      <c r="C412" s="24" t="s">
        <v>426</v>
      </c>
      <c r="D412" s="24" t="s">
        <v>422</v>
      </c>
      <c r="E412" s="25" t="s">
        <v>271</v>
      </c>
      <c r="F412" s="24">
        <v>100</v>
      </c>
      <c r="G412" s="26">
        <f>1839.4+555.6</f>
        <v>2395</v>
      </c>
      <c r="H412" s="26">
        <f>1839.4+555.6</f>
        <v>2395</v>
      </c>
    </row>
    <row r="413" spans="1:8" ht="31.2" x14ac:dyDescent="0.3">
      <c r="A413" s="22" t="s">
        <v>77</v>
      </c>
      <c r="B413" s="23"/>
      <c r="C413" s="24" t="s">
        <v>426</v>
      </c>
      <c r="D413" s="24" t="s">
        <v>422</v>
      </c>
      <c r="E413" s="25" t="s">
        <v>270</v>
      </c>
      <c r="F413" s="24">
        <v>200</v>
      </c>
      <c r="G413" s="26">
        <f>63.55+15.2</f>
        <v>78.75</v>
      </c>
      <c r="H413" s="26">
        <f>63.55+15.2</f>
        <v>78.75</v>
      </c>
    </row>
    <row r="414" spans="1:8" ht="46.8" x14ac:dyDescent="0.3">
      <c r="A414" s="17" t="s">
        <v>272</v>
      </c>
      <c r="B414" s="28" t="s">
        <v>443</v>
      </c>
      <c r="C414" s="20"/>
      <c r="D414" s="20"/>
      <c r="E414" s="19"/>
      <c r="F414" s="20"/>
      <c r="G414" s="21">
        <f t="shared" ref="G414:H417" si="6">G415</f>
        <v>11142.210500000001</v>
      </c>
      <c r="H414" s="21">
        <f t="shared" si="6"/>
        <v>11141.13874</v>
      </c>
    </row>
    <row r="415" spans="1:8" ht="62.4" x14ac:dyDescent="0.3">
      <c r="A415" s="17" t="s">
        <v>273</v>
      </c>
      <c r="B415" s="18"/>
      <c r="C415" s="20" t="s">
        <v>391</v>
      </c>
      <c r="D415" s="20" t="s">
        <v>424</v>
      </c>
      <c r="E415" s="19" t="s">
        <v>274</v>
      </c>
      <c r="F415" s="20" t="s">
        <v>529</v>
      </c>
      <c r="G415" s="21">
        <f t="shared" si="6"/>
        <v>11142.210500000001</v>
      </c>
      <c r="H415" s="21">
        <f t="shared" si="6"/>
        <v>11141.13874</v>
      </c>
    </row>
    <row r="416" spans="1:8" ht="78" x14ac:dyDescent="0.3">
      <c r="A416" s="17" t="s">
        <v>27</v>
      </c>
      <c r="B416" s="18"/>
      <c r="C416" s="20" t="s">
        <v>391</v>
      </c>
      <c r="D416" s="20" t="s">
        <v>424</v>
      </c>
      <c r="E416" s="19" t="s">
        <v>275</v>
      </c>
      <c r="F416" s="20" t="s">
        <v>529</v>
      </c>
      <c r="G416" s="21">
        <f t="shared" si="6"/>
        <v>11142.210500000001</v>
      </c>
      <c r="H416" s="21">
        <f t="shared" si="6"/>
        <v>11141.13874</v>
      </c>
    </row>
    <row r="417" spans="1:8" ht="31.2" x14ac:dyDescent="0.3">
      <c r="A417" s="17" t="s">
        <v>276</v>
      </c>
      <c r="B417" s="18"/>
      <c r="C417" s="20" t="s">
        <v>391</v>
      </c>
      <c r="D417" s="20" t="s">
        <v>424</v>
      </c>
      <c r="E417" s="19" t="s">
        <v>275</v>
      </c>
      <c r="F417" s="20" t="s">
        <v>529</v>
      </c>
      <c r="G417" s="21">
        <f t="shared" si="6"/>
        <v>11142.210500000001</v>
      </c>
      <c r="H417" s="21">
        <f t="shared" si="6"/>
        <v>11141.13874</v>
      </c>
    </row>
    <row r="418" spans="1:8" ht="46.8" x14ac:dyDescent="0.3">
      <c r="A418" s="22" t="s">
        <v>277</v>
      </c>
      <c r="B418" s="23"/>
      <c r="C418" s="24" t="s">
        <v>391</v>
      </c>
      <c r="D418" s="24" t="s">
        <v>424</v>
      </c>
      <c r="E418" s="25" t="s">
        <v>275</v>
      </c>
      <c r="F418" s="24" t="s">
        <v>529</v>
      </c>
      <c r="G418" s="26">
        <f>G419+G420+G421</f>
        <v>11142.210500000001</v>
      </c>
      <c r="H418" s="26">
        <f>H419+H420+H421</f>
        <v>11141.13874</v>
      </c>
    </row>
    <row r="419" spans="1:8" ht="62.4" x14ac:dyDescent="0.3">
      <c r="A419" s="22" t="s">
        <v>12</v>
      </c>
      <c r="B419" s="23"/>
      <c r="C419" s="24" t="s">
        <v>391</v>
      </c>
      <c r="D419" s="24" t="s">
        <v>424</v>
      </c>
      <c r="E419" s="25" t="s">
        <v>278</v>
      </c>
      <c r="F419" s="24">
        <v>100</v>
      </c>
      <c r="G419" s="26">
        <f>5740.1658+0.6+1698.30268</f>
        <v>7439.0684799999999</v>
      </c>
      <c r="H419" s="26">
        <f>5740.1658+0.6+1697.23092</f>
        <v>7437.9967200000001</v>
      </c>
    </row>
    <row r="420" spans="1:8" ht="78" x14ac:dyDescent="0.3">
      <c r="A420" s="22" t="s">
        <v>175</v>
      </c>
      <c r="B420" s="23"/>
      <c r="C420" s="24" t="s">
        <v>391</v>
      </c>
      <c r="D420" s="24" t="s">
        <v>424</v>
      </c>
      <c r="E420" s="25" t="s">
        <v>279</v>
      </c>
      <c r="F420" s="24">
        <v>100</v>
      </c>
      <c r="G420" s="26">
        <f>2494.4+753.4</f>
        <v>3247.8</v>
      </c>
      <c r="H420" s="26">
        <f>2494.4+753.4</f>
        <v>3247.8</v>
      </c>
    </row>
    <row r="421" spans="1:8" ht="31.2" x14ac:dyDescent="0.3">
      <c r="A421" s="22" t="s">
        <v>18</v>
      </c>
      <c r="B421" s="23"/>
      <c r="C421" s="24" t="s">
        <v>391</v>
      </c>
      <c r="D421" s="24" t="s">
        <v>424</v>
      </c>
      <c r="E421" s="25" t="s">
        <v>278</v>
      </c>
      <c r="F421" s="24">
        <v>200</v>
      </c>
      <c r="G421" s="26">
        <f>321.86072+133.4813</f>
        <v>455.34202000000005</v>
      </c>
      <c r="H421" s="26">
        <f>321.86072+133.4813</f>
        <v>455.34202000000005</v>
      </c>
    </row>
    <row r="422" spans="1:8" ht="31.2" x14ac:dyDescent="0.3">
      <c r="A422" s="17" t="s">
        <v>280</v>
      </c>
      <c r="B422" s="18">
        <v>330</v>
      </c>
      <c r="C422" s="20"/>
      <c r="D422" s="20"/>
      <c r="E422" s="19"/>
      <c r="F422" s="20"/>
      <c r="G422" s="21">
        <f>G423</f>
        <v>4676.9928600000003</v>
      </c>
      <c r="H422" s="21">
        <f>H423</f>
        <v>4423.9981299999999</v>
      </c>
    </row>
    <row r="423" spans="1:8" x14ac:dyDescent="0.3">
      <c r="A423" s="17" t="s">
        <v>178</v>
      </c>
      <c r="B423" s="18"/>
      <c r="C423" s="20" t="s">
        <v>391</v>
      </c>
      <c r="D423" s="20" t="s">
        <v>395</v>
      </c>
      <c r="E423" s="19" t="s">
        <v>23</v>
      </c>
      <c r="F423" s="20" t="s">
        <v>529</v>
      </c>
      <c r="G423" s="21">
        <f>G424+G426+G432+G435</f>
        <v>4676.9928600000003</v>
      </c>
      <c r="H423" s="21">
        <f>H424+H426+H432+H435</f>
        <v>4423.9981299999999</v>
      </c>
    </row>
    <row r="424" spans="1:8" ht="31.2" x14ac:dyDescent="0.3">
      <c r="A424" s="22" t="s">
        <v>281</v>
      </c>
      <c r="B424" s="23"/>
      <c r="C424" s="24" t="s">
        <v>391</v>
      </c>
      <c r="D424" s="24" t="s">
        <v>421</v>
      </c>
      <c r="E424" s="25" t="s">
        <v>282</v>
      </c>
      <c r="F424" s="24" t="s">
        <v>529</v>
      </c>
      <c r="G424" s="26">
        <f>G425</f>
        <v>1789.9</v>
      </c>
      <c r="H424" s="26">
        <f>H425</f>
        <v>1788.9471099999998</v>
      </c>
    </row>
    <row r="425" spans="1:8" ht="62.4" x14ac:dyDescent="0.3">
      <c r="A425" s="22" t="s">
        <v>12</v>
      </c>
      <c r="B425" s="23"/>
      <c r="C425" s="24" t="s">
        <v>391</v>
      </c>
      <c r="D425" s="24" t="s">
        <v>421</v>
      </c>
      <c r="E425" s="25" t="s">
        <v>282</v>
      </c>
      <c r="F425" s="24">
        <v>100</v>
      </c>
      <c r="G425" s="26">
        <f>1382.5+407.4</f>
        <v>1789.9</v>
      </c>
      <c r="H425" s="26">
        <f>1382.48383+406.46328</f>
        <v>1788.9471099999998</v>
      </c>
    </row>
    <row r="426" spans="1:8" ht="62.4" x14ac:dyDescent="0.3">
      <c r="A426" s="17" t="s">
        <v>506</v>
      </c>
      <c r="B426" s="18"/>
      <c r="C426" s="20" t="s">
        <v>391</v>
      </c>
      <c r="D426" s="20" t="s">
        <v>421</v>
      </c>
      <c r="E426" s="19" t="s">
        <v>9</v>
      </c>
      <c r="F426" s="20" t="s">
        <v>529</v>
      </c>
      <c r="G426" s="21">
        <f>G427</f>
        <v>1474.85</v>
      </c>
      <c r="H426" s="21">
        <f>H427</f>
        <v>1222.97083</v>
      </c>
    </row>
    <row r="427" spans="1:8" ht="31.2" x14ac:dyDescent="0.3">
      <c r="A427" s="17" t="s">
        <v>276</v>
      </c>
      <c r="B427" s="18"/>
      <c r="C427" s="20" t="s">
        <v>391</v>
      </c>
      <c r="D427" s="20" t="s">
        <v>421</v>
      </c>
      <c r="E427" s="19" t="s">
        <v>14</v>
      </c>
      <c r="F427" s="20" t="s">
        <v>529</v>
      </c>
      <c r="G427" s="21">
        <f>G428</f>
        <v>1474.85</v>
      </c>
      <c r="H427" s="21">
        <f>H428</f>
        <v>1222.97083</v>
      </c>
    </row>
    <row r="428" spans="1:8" ht="46.8" x14ac:dyDescent="0.3">
      <c r="A428" s="22" t="s">
        <v>277</v>
      </c>
      <c r="B428" s="23"/>
      <c r="C428" s="24" t="s">
        <v>391</v>
      </c>
      <c r="D428" s="24" t="s">
        <v>421</v>
      </c>
      <c r="E428" s="25" t="s">
        <v>17</v>
      </c>
      <c r="F428" s="24" t="s">
        <v>529</v>
      </c>
      <c r="G428" s="26">
        <f>G429+G430+G431</f>
        <v>1474.85</v>
      </c>
      <c r="H428" s="26">
        <f>H429+H430+H431</f>
        <v>1222.97083</v>
      </c>
    </row>
    <row r="429" spans="1:8" ht="62.4" x14ac:dyDescent="0.3">
      <c r="A429" s="22" t="s">
        <v>12</v>
      </c>
      <c r="B429" s="23"/>
      <c r="C429" s="24" t="s">
        <v>391</v>
      </c>
      <c r="D429" s="24" t="s">
        <v>421</v>
      </c>
      <c r="E429" s="25" t="s">
        <v>17</v>
      </c>
      <c r="F429" s="24">
        <v>100</v>
      </c>
      <c r="G429" s="26">
        <f>740+13.68+221.2</f>
        <v>974.87999999999988</v>
      </c>
      <c r="H429" s="26">
        <f>733.46855+3.4552+221.01391</f>
        <v>957.93766000000005</v>
      </c>
    </row>
    <row r="430" spans="1:8" ht="31.2" x14ac:dyDescent="0.3">
      <c r="A430" s="22" t="s">
        <v>18</v>
      </c>
      <c r="B430" s="23"/>
      <c r="C430" s="24" t="s">
        <v>391</v>
      </c>
      <c r="D430" s="24" t="s">
        <v>421</v>
      </c>
      <c r="E430" s="25" t="s">
        <v>17</v>
      </c>
      <c r="F430" s="24">
        <v>200</v>
      </c>
      <c r="G430" s="26">
        <f>97.04+343.53</f>
        <v>440.57</v>
      </c>
      <c r="H430" s="26">
        <f>71.23832+135.61735</f>
        <v>206.85566999999998</v>
      </c>
    </row>
    <row r="431" spans="1:8" x14ac:dyDescent="0.3">
      <c r="A431" s="22" t="s">
        <v>19</v>
      </c>
      <c r="B431" s="23"/>
      <c r="C431" s="24" t="s">
        <v>391</v>
      </c>
      <c r="D431" s="24" t="s">
        <v>421</v>
      </c>
      <c r="E431" s="25" t="s">
        <v>17</v>
      </c>
      <c r="F431" s="24">
        <v>800</v>
      </c>
      <c r="G431" s="26">
        <f>59.4</f>
        <v>59.4</v>
      </c>
      <c r="H431" s="26">
        <f>58.1775</f>
        <v>58.177500000000002</v>
      </c>
    </row>
    <row r="432" spans="1:8" ht="31.2" x14ac:dyDescent="0.3">
      <c r="A432" s="22" t="s">
        <v>283</v>
      </c>
      <c r="B432" s="23"/>
      <c r="C432" s="24" t="s">
        <v>391</v>
      </c>
      <c r="D432" s="24" t="s">
        <v>424</v>
      </c>
      <c r="E432" s="25" t="s">
        <v>284</v>
      </c>
      <c r="F432" s="24" t="s">
        <v>529</v>
      </c>
      <c r="G432" s="26">
        <f>G433+G434</f>
        <v>1320.3000000000002</v>
      </c>
      <c r="H432" s="26">
        <f>H433+H434</f>
        <v>1320.13733</v>
      </c>
    </row>
    <row r="433" spans="1:8" ht="62.4" x14ac:dyDescent="0.3">
      <c r="A433" s="22" t="s">
        <v>12</v>
      </c>
      <c r="B433" s="23"/>
      <c r="C433" s="24" t="s">
        <v>391</v>
      </c>
      <c r="D433" s="24" t="s">
        <v>424</v>
      </c>
      <c r="E433" s="25" t="s">
        <v>285</v>
      </c>
      <c r="F433" s="24">
        <v>100</v>
      </c>
      <c r="G433" s="26">
        <f>627.2+186.7</f>
        <v>813.90000000000009</v>
      </c>
      <c r="H433" s="26">
        <f>627.16551+186.63357</f>
        <v>813.79908</v>
      </c>
    </row>
    <row r="434" spans="1:8" ht="62.4" x14ac:dyDescent="0.3">
      <c r="A434" s="22" t="s">
        <v>12</v>
      </c>
      <c r="B434" s="23"/>
      <c r="C434" s="24" t="s">
        <v>391</v>
      </c>
      <c r="D434" s="24" t="s">
        <v>424</v>
      </c>
      <c r="E434" s="25" t="s">
        <v>17</v>
      </c>
      <c r="F434" s="24">
        <v>100</v>
      </c>
      <c r="G434" s="26">
        <f>389+117.4</f>
        <v>506.4</v>
      </c>
      <c r="H434" s="26">
        <f>388.96234+117.37591</f>
        <v>506.33825000000002</v>
      </c>
    </row>
    <row r="435" spans="1:8" ht="62.4" x14ac:dyDescent="0.3">
      <c r="A435" s="22" t="s">
        <v>449</v>
      </c>
      <c r="B435" s="23"/>
      <c r="C435" s="24" t="s">
        <v>391</v>
      </c>
      <c r="D435" s="24" t="s">
        <v>421</v>
      </c>
      <c r="E435" s="25" t="s">
        <v>575</v>
      </c>
      <c r="F435" s="24" t="s">
        <v>529</v>
      </c>
      <c r="G435" s="26">
        <f>G436</f>
        <v>91.942859999999996</v>
      </c>
      <c r="H435" s="26">
        <f>H436</f>
        <v>91.942859999999996</v>
      </c>
    </row>
    <row r="436" spans="1:8" ht="62.4" x14ac:dyDescent="0.3">
      <c r="A436" s="22" t="s">
        <v>449</v>
      </c>
      <c r="B436" s="23"/>
      <c r="C436" s="24" t="s">
        <v>391</v>
      </c>
      <c r="D436" s="24" t="s">
        <v>421</v>
      </c>
      <c r="E436" s="25" t="s">
        <v>575</v>
      </c>
      <c r="F436" s="24" t="s">
        <v>451</v>
      </c>
      <c r="G436" s="26">
        <v>91.942859999999996</v>
      </c>
      <c r="H436" s="26">
        <v>91.942859999999996</v>
      </c>
    </row>
    <row r="437" spans="1:8" x14ac:dyDescent="0.3">
      <c r="A437" s="17" t="s">
        <v>286</v>
      </c>
      <c r="B437" s="28" t="s">
        <v>439</v>
      </c>
      <c r="C437" s="20"/>
      <c r="D437" s="20"/>
      <c r="E437" s="19"/>
      <c r="F437" s="20"/>
      <c r="G437" s="21">
        <f>G438+G444+G448+G554</f>
        <v>612974.51008000015</v>
      </c>
      <c r="H437" s="21">
        <f>H438+H444+H448+H554</f>
        <v>608145.06296999985</v>
      </c>
    </row>
    <row r="438" spans="1:8" ht="31.2" x14ac:dyDescent="0.3">
      <c r="A438" s="17" t="s">
        <v>8</v>
      </c>
      <c r="B438" s="18"/>
      <c r="C438" s="20" t="s">
        <v>391</v>
      </c>
      <c r="D438" s="20" t="s">
        <v>392</v>
      </c>
      <c r="E438" s="19" t="s">
        <v>9</v>
      </c>
      <c r="F438" s="20" t="s">
        <v>529</v>
      </c>
      <c r="G438" s="21">
        <f>G439</f>
        <v>1214</v>
      </c>
      <c r="H438" s="21">
        <f>H439</f>
        <v>1214</v>
      </c>
    </row>
    <row r="439" spans="1:8" ht="124.8" x14ac:dyDescent="0.3">
      <c r="A439" s="17" t="s">
        <v>287</v>
      </c>
      <c r="B439" s="18"/>
      <c r="C439" s="20" t="s">
        <v>391</v>
      </c>
      <c r="D439" s="20" t="s">
        <v>422</v>
      </c>
      <c r="E439" s="19" t="s">
        <v>288</v>
      </c>
      <c r="F439" s="20" t="s">
        <v>529</v>
      </c>
      <c r="G439" s="21">
        <f>G440</f>
        <v>1214</v>
      </c>
      <c r="H439" s="21">
        <f>H440</f>
        <v>1214</v>
      </c>
    </row>
    <row r="440" spans="1:8" ht="78" x14ac:dyDescent="0.3">
      <c r="A440" s="22" t="s">
        <v>289</v>
      </c>
      <c r="B440" s="23"/>
      <c r="C440" s="24" t="s">
        <v>391</v>
      </c>
      <c r="D440" s="24" t="s">
        <v>422</v>
      </c>
      <c r="E440" s="25" t="s">
        <v>288</v>
      </c>
      <c r="F440" s="24" t="s">
        <v>529</v>
      </c>
      <c r="G440" s="26">
        <v>1214</v>
      </c>
      <c r="H440" s="26">
        <v>1214</v>
      </c>
    </row>
    <row r="441" spans="1:8" ht="62.4" x14ac:dyDescent="0.3">
      <c r="A441" s="22" t="s">
        <v>12</v>
      </c>
      <c r="B441" s="23"/>
      <c r="C441" s="24" t="s">
        <v>391</v>
      </c>
      <c r="D441" s="24" t="s">
        <v>422</v>
      </c>
      <c r="E441" s="25" t="s">
        <v>288</v>
      </c>
      <c r="F441" s="24">
        <v>100</v>
      </c>
      <c r="G441" s="26">
        <f>888.34961+265.16339</f>
        <v>1153.5129999999999</v>
      </c>
      <c r="H441" s="26">
        <f>888.34961+265.16339</f>
        <v>1153.5129999999999</v>
      </c>
    </row>
    <row r="442" spans="1:8" ht="31.2" x14ac:dyDescent="0.3">
      <c r="A442" s="22" t="s">
        <v>18</v>
      </c>
      <c r="B442" s="23"/>
      <c r="C442" s="24" t="s">
        <v>391</v>
      </c>
      <c r="D442" s="24" t="s">
        <v>422</v>
      </c>
      <c r="E442" s="25" t="s">
        <v>288</v>
      </c>
      <c r="F442" s="24">
        <v>200</v>
      </c>
      <c r="G442" s="26">
        <f>18.84+41.62629</f>
        <v>60.466290000000001</v>
      </c>
      <c r="H442" s="26">
        <f>18.84+41.62629</f>
        <v>60.466290000000001</v>
      </c>
    </row>
    <row r="443" spans="1:8" x14ac:dyDescent="0.3">
      <c r="A443" s="22" t="s">
        <v>19</v>
      </c>
      <c r="B443" s="23"/>
      <c r="C443" s="24" t="s">
        <v>391</v>
      </c>
      <c r="D443" s="24" t="s">
        <v>422</v>
      </c>
      <c r="E443" s="25" t="s">
        <v>288</v>
      </c>
      <c r="F443" s="24">
        <v>800</v>
      </c>
      <c r="G443" s="26">
        <v>2.7099999999999999E-2</v>
      </c>
      <c r="H443" s="26">
        <v>2.7099999999999999E-2</v>
      </c>
    </row>
    <row r="444" spans="1:8" x14ac:dyDescent="0.3">
      <c r="A444" s="17" t="s">
        <v>73</v>
      </c>
      <c r="B444" s="18"/>
      <c r="C444" s="20" t="s">
        <v>422</v>
      </c>
      <c r="D444" s="20" t="s">
        <v>392</v>
      </c>
      <c r="E444" s="19" t="s">
        <v>9</v>
      </c>
      <c r="F444" s="20" t="s">
        <v>529</v>
      </c>
      <c r="G444" s="21">
        <f t="shared" ref="G444:H446" si="7">G445</f>
        <v>0</v>
      </c>
      <c r="H444" s="21">
        <f t="shared" si="7"/>
        <v>0</v>
      </c>
    </row>
    <row r="445" spans="1:8" x14ac:dyDescent="0.3">
      <c r="A445" s="17" t="s">
        <v>507</v>
      </c>
      <c r="B445" s="18"/>
      <c r="C445" s="20" t="s">
        <v>422</v>
      </c>
      <c r="D445" s="20" t="s">
        <v>391</v>
      </c>
      <c r="E445" s="19" t="s">
        <v>9</v>
      </c>
      <c r="F445" s="20" t="s">
        <v>529</v>
      </c>
      <c r="G445" s="21">
        <f t="shared" si="7"/>
        <v>0</v>
      </c>
      <c r="H445" s="21">
        <f t="shared" si="7"/>
        <v>0</v>
      </c>
    </row>
    <row r="446" spans="1:8" ht="46.8" x14ac:dyDescent="0.3">
      <c r="A446" s="22" t="s">
        <v>508</v>
      </c>
      <c r="B446" s="23"/>
      <c r="C446" s="24" t="s">
        <v>422</v>
      </c>
      <c r="D446" s="24" t="s">
        <v>391</v>
      </c>
      <c r="E446" s="25" t="s">
        <v>509</v>
      </c>
      <c r="F446" s="24" t="s">
        <v>529</v>
      </c>
      <c r="G446" s="26">
        <f t="shared" si="7"/>
        <v>0</v>
      </c>
      <c r="H446" s="26">
        <f t="shared" si="7"/>
        <v>0</v>
      </c>
    </row>
    <row r="447" spans="1:8" ht="62.4" x14ac:dyDescent="0.3">
      <c r="A447" s="22" t="s">
        <v>51</v>
      </c>
      <c r="B447" s="23"/>
      <c r="C447" s="24" t="s">
        <v>422</v>
      </c>
      <c r="D447" s="24" t="s">
        <v>391</v>
      </c>
      <c r="E447" s="25" t="s">
        <v>509</v>
      </c>
      <c r="F447" s="24">
        <v>600</v>
      </c>
      <c r="G447" s="26">
        <v>0</v>
      </c>
      <c r="H447" s="26">
        <v>0</v>
      </c>
    </row>
    <row r="448" spans="1:8" x14ac:dyDescent="0.3">
      <c r="A448" s="17" t="s">
        <v>129</v>
      </c>
      <c r="B448" s="18"/>
      <c r="C448" s="20" t="s">
        <v>425</v>
      </c>
      <c r="D448" s="20" t="s">
        <v>392</v>
      </c>
      <c r="E448" s="19" t="s">
        <v>9</v>
      </c>
      <c r="F448" s="20" t="s">
        <v>529</v>
      </c>
      <c r="G448" s="21">
        <f>G449+G465+G503+G515+G537+G520</f>
        <v>606976.51008000015</v>
      </c>
      <c r="H448" s="21">
        <f>H449+H465+H503+H515+H537+H520</f>
        <v>602173.73224999988</v>
      </c>
    </row>
    <row r="449" spans="1:8" x14ac:dyDescent="0.3">
      <c r="A449" s="17" t="s">
        <v>290</v>
      </c>
      <c r="B449" s="18"/>
      <c r="C449" s="20" t="s">
        <v>425</v>
      </c>
      <c r="D449" s="20" t="s">
        <v>391</v>
      </c>
      <c r="E449" s="19" t="s">
        <v>291</v>
      </c>
      <c r="F449" s="20" t="s">
        <v>529</v>
      </c>
      <c r="G449" s="21">
        <f>G450</f>
        <v>234114.53500000003</v>
      </c>
      <c r="H449" s="21">
        <f>H450</f>
        <v>233762.28513</v>
      </c>
    </row>
    <row r="450" spans="1:8" ht="31.2" x14ac:dyDescent="0.3">
      <c r="A450" s="17" t="s">
        <v>292</v>
      </c>
      <c r="B450" s="18"/>
      <c r="C450" s="20" t="s">
        <v>425</v>
      </c>
      <c r="D450" s="20" t="s">
        <v>391</v>
      </c>
      <c r="E450" s="19" t="s">
        <v>510</v>
      </c>
      <c r="F450" s="20" t="s">
        <v>529</v>
      </c>
      <c r="G450" s="21">
        <f>G451+G453+G455+G457+G459+G461+G463</f>
        <v>234114.53500000003</v>
      </c>
      <c r="H450" s="21">
        <f>H451+H453+H455+H457+H459+H461+H463</f>
        <v>233762.28513</v>
      </c>
    </row>
    <row r="451" spans="1:8" ht="46.8" x14ac:dyDescent="0.3">
      <c r="A451" s="22" t="s">
        <v>293</v>
      </c>
      <c r="B451" s="23"/>
      <c r="C451" s="24" t="s">
        <v>425</v>
      </c>
      <c r="D451" s="24" t="s">
        <v>391</v>
      </c>
      <c r="E451" s="25" t="s">
        <v>294</v>
      </c>
      <c r="F451" s="24" t="s">
        <v>529</v>
      </c>
      <c r="G451" s="26">
        <f>G452</f>
        <v>72402.834999999992</v>
      </c>
      <c r="H451" s="26">
        <f>H452</f>
        <v>72402.834919999994</v>
      </c>
    </row>
    <row r="452" spans="1:8" ht="62.4" x14ac:dyDescent="0.3">
      <c r="A452" s="22" t="s">
        <v>51</v>
      </c>
      <c r="B452" s="23"/>
      <c r="C452" s="24" t="s">
        <v>425</v>
      </c>
      <c r="D452" s="24" t="s">
        <v>391</v>
      </c>
      <c r="E452" s="25" t="s">
        <v>294</v>
      </c>
      <c r="F452" s="24">
        <v>600</v>
      </c>
      <c r="G452" s="26">
        <f>63036.172+9366.663</f>
        <v>72402.834999999992</v>
      </c>
      <c r="H452" s="26">
        <f>63036.17192+9366.663</f>
        <v>72402.834919999994</v>
      </c>
    </row>
    <row r="453" spans="1:8" ht="78" x14ac:dyDescent="0.3">
      <c r="A453" s="22" t="s">
        <v>175</v>
      </c>
      <c r="B453" s="23"/>
      <c r="C453" s="24" t="s">
        <v>425</v>
      </c>
      <c r="D453" s="24" t="s">
        <v>391</v>
      </c>
      <c r="E453" s="25" t="s">
        <v>296</v>
      </c>
      <c r="F453" s="24" t="s">
        <v>529</v>
      </c>
      <c r="G453" s="26">
        <f>G454</f>
        <v>8888.7999999999993</v>
      </c>
      <c r="H453" s="26">
        <f>H454</f>
        <v>8888.7999999999993</v>
      </c>
    </row>
    <row r="454" spans="1:8" ht="62.4" x14ac:dyDescent="0.3">
      <c r="A454" s="22" t="s">
        <v>51</v>
      </c>
      <c r="B454" s="23"/>
      <c r="C454" s="24" t="s">
        <v>425</v>
      </c>
      <c r="D454" s="24" t="s">
        <v>391</v>
      </c>
      <c r="E454" s="25" t="s">
        <v>296</v>
      </c>
      <c r="F454" s="24">
        <v>600</v>
      </c>
      <c r="G454" s="26">
        <f>7862.8+1026</f>
        <v>8888.7999999999993</v>
      </c>
      <c r="H454" s="26">
        <f>7862.8+1026</f>
        <v>8888.7999999999993</v>
      </c>
    </row>
    <row r="455" spans="1:8" ht="62.4" x14ac:dyDescent="0.3">
      <c r="A455" s="22" t="s">
        <v>297</v>
      </c>
      <c r="B455" s="23"/>
      <c r="C455" s="24" t="s">
        <v>425</v>
      </c>
      <c r="D455" s="24" t="s">
        <v>391</v>
      </c>
      <c r="E455" s="25" t="s">
        <v>511</v>
      </c>
      <c r="F455" s="24" t="s">
        <v>529</v>
      </c>
      <c r="G455" s="26">
        <f>G456</f>
        <v>136658.20000000001</v>
      </c>
      <c r="H455" s="26">
        <f>H456</f>
        <v>136658.20000000001</v>
      </c>
    </row>
    <row r="456" spans="1:8" ht="62.4" x14ac:dyDescent="0.3">
      <c r="A456" s="22" t="s">
        <v>51</v>
      </c>
      <c r="B456" s="23"/>
      <c r="C456" s="24" t="s">
        <v>425</v>
      </c>
      <c r="D456" s="24" t="s">
        <v>391</v>
      </c>
      <c r="E456" s="25" t="s">
        <v>511</v>
      </c>
      <c r="F456" s="24">
        <v>600</v>
      </c>
      <c r="G456" s="26">
        <f>116969.7+19688.5</f>
        <v>136658.20000000001</v>
      </c>
      <c r="H456" s="26">
        <f>116969.7+19688.5</f>
        <v>136658.20000000001</v>
      </c>
    </row>
    <row r="457" spans="1:8" ht="202.8" x14ac:dyDescent="0.3">
      <c r="A457" s="22" t="s">
        <v>298</v>
      </c>
      <c r="B457" s="23"/>
      <c r="C457" s="24" t="s">
        <v>425</v>
      </c>
      <c r="D457" s="24" t="s">
        <v>391</v>
      </c>
      <c r="E457" s="25" t="s">
        <v>512</v>
      </c>
      <c r="F457" s="24" t="s">
        <v>529</v>
      </c>
      <c r="G457" s="26">
        <f>G458</f>
        <v>1858.1</v>
      </c>
      <c r="H457" s="26">
        <f>H458</f>
        <v>1531.14561</v>
      </c>
    </row>
    <row r="458" spans="1:8" ht="62.4" x14ac:dyDescent="0.3">
      <c r="A458" s="22" t="s">
        <v>51</v>
      </c>
      <c r="B458" s="23"/>
      <c r="C458" s="24" t="s">
        <v>425</v>
      </c>
      <c r="D458" s="24" t="s">
        <v>391</v>
      </c>
      <c r="E458" s="25" t="s">
        <v>512</v>
      </c>
      <c r="F458" s="24">
        <v>600</v>
      </c>
      <c r="G458" s="26">
        <f>1406.866+451.234</f>
        <v>1858.1</v>
      </c>
      <c r="H458" s="26">
        <f>1239.52761+291.618</f>
        <v>1531.14561</v>
      </c>
    </row>
    <row r="459" spans="1:8" ht="31.2" x14ac:dyDescent="0.3">
      <c r="A459" s="22" t="s">
        <v>264</v>
      </c>
      <c r="B459" s="23"/>
      <c r="C459" s="24" t="s">
        <v>425</v>
      </c>
      <c r="D459" s="24" t="s">
        <v>391</v>
      </c>
      <c r="E459" s="25" t="s">
        <v>299</v>
      </c>
      <c r="F459" s="24" t="s">
        <v>529</v>
      </c>
      <c r="G459" s="26">
        <f>G460</f>
        <v>7223.2673800000002</v>
      </c>
      <c r="H459" s="26">
        <f>H460</f>
        <v>7203.2673800000002</v>
      </c>
    </row>
    <row r="460" spans="1:8" ht="62.4" x14ac:dyDescent="0.3">
      <c r="A460" s="22" t="s">
        <v>51</v>
      </c>
      <c r="B460" s="23"/>
      <c r="C460" s="24" t="s">
        <v>425</v>
      </c>
      <c r="D460" s="24" t="s">
        <v>391</v>
      </c>
      <c r="E460" s="25" t="s">
        <v>299</v>
      </c>
      <c r="F460" s="24">
        <v>600</v>
      </c>
      <c r="G460" s="26">
        <f>7223.26738</f>
        <v>7223.2673800000002</v>
      </c>
      <c r="H460" s="26">
        <f>7203.26738</f>
        <v>7203.2673800000002</v>
      </c>
    </row>
    <row r="461" spans="1:8" ht="78" x14ac:dyDescent="0.3">
      <c r="A461" s="22" t="s">
        <v>300</v>
      </c>
      <c r="B461" s="23"/>
      <c r="C461" s="24" t="s">
        <v>425</v>
      </c>
      <c r="D461" s="24" t="s">
        <v>391</v>
      </c>
      <c r="E461" s="25" t="s">
        <v>311</v>
      </c>
      <c r="F461" s="24" t="s">
        <v>529</v>
      </c>
      <c r="G461" s="26">
        <f>G462</f>
        <v>6913.3326200000001</v>
      </c>
      <c r="H461" s="26">
        <f>H462</f>
        <v>6908.0372200000002</v>
      </c>
    </row>
    <row r="462" spans="1:8" ht="62.4" x14ac:dyDescent="0.3">
      <c r="A462" s="22" t="s">
        <v>51</v>
      </c>
      <c r="B462" s="23"/>
      <c r="C462" s="24" t="s">
        <v>425</v>
      </c>
      <c r="D462" s="24" t="s">
        <v>391</v>
      </c>
      <c r="E462" s="25" t="s">
        <v>311</v>
      </c>
      <c r="F462" s="24">
        <v>600</v>
      </c>
      <c r="G462" s="26">
        <f>6913.33262</f>
        <v>6913.3326200000001</v>
      </c>
      <c r="H462" s="26">
        <f>6908.03722</f>
        <v>6908.0372200000002</v>
      </c>
    </row>
    <row r="463" spans="1:8" ht="62.4" x14ac:dyDescent="0.3">
      <c r="A463" s="22" t="s">
        <v>295</v>
      </c>
      <c r="B463" s="23"/>
      <c r="C463" s="24" t="s">
        <v>425</v>
      </c>
      <c r="D463" s="24" t="s">
        <v>391</v>
      </c>
      <c r="E463" s="25" t="s">
        <v>513</v>
      </c>
      <c r="F463" s="24" t="s">
        <v>529</v>
      </c>
      <c r="G463" s="26">
        <f>G464</f>
        <v>170</v>
      </c>
      <c r="H463" s="26">
        <f>H464</f>
        <v>170</v>
      </c>
    </row>
    <row r="464" spans="1:8" ht="62.4" x14ac:dyDescent="0.3">
      <c r="A464" s="22" t="s">
        <v>51</v>
      </c>
      <c r="B464" s="23"/>
      <c r="C464" s="24" t="s">
        <v>425</v>
      </c>
      <c r="D464" s="24" t="s">
        <v>391</v>
      </c>
      <c r="E464" s="25" t="s">
        <v>513</v>
      </c>
      <c r="F464" s="24">
        <v>600</v>
      </c>
      <c r="G464" s="26">
        <v>170</v>
      </c>
      <c r="H464" s="26">
        <v>170</v>
      </c>
    </row>
    <row r="465" spans="1:8" x14ac:dyDescent="0.3">
      <c r="A465" s="17" t="s">
        <v>301</v>
      </c>
      <c r="B465" s="18"/>
      <c r="C465" s="20" t="s">
        <v>425</v>
      </c>
      <c r="D465" s="20" t="s">
        <v>427</v>
      </c>
      <c r="E465" s="19" t="s">
        <v>9</v>
      </c>
      <c r="F465" s="20" t="s">
        <v>529</v>
      </c>
      <c r="G465" s="21">
        <f>G466+G493+G500</f>
        <v>301679.01208000001</v>
      </c>
      <c r="H465" s="21">
        <f>H466+H493+H500</f>
        <v>299121.93486999994</v>
      </c>
    </row>
    <row r="466" spans="1:8" ht="46.8" x14ac:dyDescent="0.3">
      <c r="A466" s="17" t="s">
        <v>302</v>
      </c>
      <c r="B466" s="18"/>
      <c r="C466" s="20" t="s">
        <v>425</v>
      </c>
      <c r="D466" s="20" t="s">
        <v>427</v>
      </c>
      <c r="E466" s="19" t="s">
        <v>514</v>
      </c>
      <c r="F466" s="20" t="s">
        <v>529</v>
      </c>
      <c r="G466" s="21">
        <f>G467+G469+G471+G473+G475+G477+G479+G481+G483+G485+G487+G489+G491</f>
        <v>300927.75917999999</v>
      </c>
      <c r="H466" s="21">
        <f>H467+H469+H471+H473+H475+H477+H479+H481+H483+H485+H487+H489+H491</f>
        <v>298491.83197999996</v>
      </c>
    </row>
    <row r="467" spans="1:8" ht="31.2" x14ac:dyDescent="0.3">
      <c r="A467" s="22" t="s">
        <v>303</v>
      </c>
      <c r="B467" s="23"/>
      <c r="C467" s="24" t="s">
        <v>425</v>
      </c>
      <c r="D467" s="24" t="s">
        <v>427</v>
      </c>
      <c r="E467" s="25" t="s">
        <v>304</v>
      </c>
      <c r="F467" s="24" t="s">
        <v>529</v>
      </c>
      <c r="G467" s="26">
        <f>G468</f>
        <v>51192.801070000001</v>
      </c>
      <c r="H467" s="26">
        <f>H468</f>
        <v>51033.812279999998</v>
      </c>
    </row>
    <row r="468" spans="1:8" ht="62.4" x14ac:dyDescent="0.3">
      <c r="A468" s="22" t="s">
        <v>51</v>
      </c>
      <c r="B468" s="23"/>
      <c r="C468" s="24" t="s">
        <v>425</v>
      </c>
      <c r="D468" s="24" t="s">
        <v>427</v>
      </c>
      <c r="E468" s="25" t="s">
        <v>304</v>
      </c>
      <c r="F468" s="24">
        <v>600</v>
      </c>
      <c r="G468" s="26">
        <f>47268.36107+3924.44</f>
        <v>51192.801070000001</v>
      </c>
      <c r="H468" s="26">
        <f>47120.63328+3913.179</f>
        <v>51033.812279999998</v>
      </c>
    </row>
    <row r="469" spans="1:8" ht="62.4" x14ac:dyDescent="0.3">
      <c r="A469" s="22" t="s">
        <v>295</v>
      </c>
      <c r="B469" s="23"/>
      <c r="C469" s="24" t="s">
        <v>425</v>
      </c>
      <c r="D469" s="24" t="s">
        <v>427</v>
      </c>
      <c r="E469" s="25" t="s">
        <v>305</v>
      </c>
      <c r="F469" s="24" t="s">
        <v>529</v>
      </c>
      <c r="G469" s="26">
        <f>G470</f>
        <v>350</v>
      </c>
      <c r="H469" s="26">
        <f>H470</f>
        <v>350</v>
      </c>
    </row>
    <row r="470" spans="1:8" ht="62.4" x14ac:dyDescent="0.3">
      <c r="A470" s="22" t="s">
        <v>51</v>
      </c>
      <c r="B470" s="23"/>
      <c r="C470" s="24" t="s">
        <v>425</v>
      </c>
      <c r="D470" s="24" t="s">
        <v>427</v>
      </c>
      <c r="E470" s="25" t="s">
        <v>305</v>
      </c>
      <c r="F470" s="24">
        <v>600</v>
      </c>
      <c r="G470" s="26">
        <v>350</v>
      </c>
      <c r="H470" s="26">
        <v>350</v>
      </c>
    </row>
    <row r="471" spans="1:8" ht="78" x14ac:dyDescent="0.3">
      <c r="A471" s="22" t="s">
        <v>175</v>
      </c>
      <c r="B471" s="23"/>
      <c r="C471" s="24" t="s">
        <v>425</v>
      </c>
      <c r="D471" s="24" t="s">
        <v>427</v>
      </c>
      <c r="E471" s="25" t="s">
        <v>306</v>
      </c>
      <c r="F471" s="24" t="s">
        <v>529</v>
      </c>
      <c r="G471" s="26">
        <f>G472</f>
        <v>5081.2000000000007</v>
      </c>
      <c r="H471" s="26">
        <f>H472</f>
        <v>5081.2000000000007</v>
      </c>
    </row>
    <row r="472" spans="1:8" ht="62.4" x14ac:dyDescent="0.3">
      <c r="A472" s="22" t="s">
        <v>51</v>
      </c>
      <c r="B472" s="23"/>
      <c r="C472" s="24" t="s">
        <v>425</v>
      </c>
      <c r="D472" s="24" t="s">
        <v>427</v>
      </c>
      <c r="E472" s="25" t="s">
        <v>306</v>
      </c>
      <c r="F472" s="24">
        <v>600</v>
      </c>
      <c r="G472" s="26">
        <f>4604.6+476.6</f>
        <v>5081.2000000000007</v>
      </c>
      <c r="H472" s="26">
        <f>4604.6+476.6</f>
        <v>5081.2000000000007</v>
      </c>
    </row>
    <row r="473" spans="1:8" ht="140.4" x14ac:dyDescent="0.3">
      <c r="A473" s="22" t="s">
        <v>584</v>
      </c>
      <c r="B473" s="23"/>
      <c r="C473" s="24" t="s">
        <v>425</v>
      </c>
      <c r="D473" s="24" t="s">
        <v>427</v>
      </c>
      <c r="E473" s="25" t="s">
        <v>583</v>
      </c>
      <c r="F473" s="24" t="s">
        <v>529</v>
      </c>
      <c r="G473" s="26">
        <f>G474</f>
        <v>2488.4120000000003</v>
      </c>
      <c r="H473" s="26">
        <f>H474</f>
        <v>2185.53226</v>
      </c>
    </row>
    <row r="474" spans="1:8" ht="62.4" x14ac:dyDescent="0.3">
      <c r="A474" s="22" t="s">
        <v>51</v>
      </c>
      <c r="B474" s="23"/>
      <c r="C474" s="24" t="s">
        <v>425</v>
      </c>
      <c r="D474" s="24" t="s">
        <v>427</v>
      </c>
      <c r="E474" s="25" t="s">
        <v>583</v>
      </c>
      <c r="F474" s="24" t="s">
        <v>402</v>
      </c>
      <c r="G474" s="26">
        <f>2255.572+232.84</f>
        <v>2488.4120000000003</v>
      </c>
      <c r="H474" s="26">
        <f>1966.33226+219.2</f>
        <v>2185.53226</v>
      </c>
    </row>
    <row r="475" spans="1:8" ht="124.8" x14ac:dyDescent="0.3">
      <c r="A475" s="22" t="s">
        <v>446</v>
      </c>
      <c r="B475" s="23"/>
      <c r="C475" s="24" t="s">
        <v>425</v>
      </c>
      <c r="D475" s="24" t="s">
        <v>427</v>
      </c>
      <c r="E475" s="25" t="s">
        <v>447</v>
      </c>
      <c r="F475" s="24" t="s">
        <v>529</v>
      </c>
      <c r="G475" s="26">
        <f>G476</f>
        <v>4869.5</v>
      </c>
      <c r="H475" s="26">
        <f>H476</f>
        <v>4732.8527599999998</v>
      </c>
    </row>
    <row r="476" spans="1:8" ht="62.4" x14ac:dyDescent="0.3">
      <c r="A476" s="22" t="s">
        <v>51</v>
      </c>
      <c r="B476" s="23"/>
      <c r="C476" s="24" t="s">
        <v>425</v>
      </c>
      <c r="D476" s="24" t="s">
        <v>427</v>
      </c>
      <c r="E476" s="25" t="s">
        <v>447</v>
      </c>
      <c r="F476" s="24" t="s">
        <v>402</v>
      </c>
      <c r="G476" s="26">
        <f>4296.62+572.88</f>
        <v>4869.5</v>
      </c>
      <c r="H476" s="26">
        <f>4171.49702+561.35574</f>
        <v>4732.8527599999998</v>
      </c>
    </row>
    <row r="477" spans="1:8" ht="78" x14ac:dyDescent="0.3">
      <c r="A477" s="22" t="s">
        <v>307</v>
      </c>
      <c r="B477" s="23"/>
      <c r="C477" s="24" t="s">
        <v>425</v>
      </c>
      <c r="D477" s="24" t="s">
        <v>427</v>
      </c>
      <c r="E477" s="25" t="s">
        <v>308</v>
      </c>
      <c r="F477" s="24" t="s">
        <v>529</v>
      </c>
      <c r="G477" s="26">
        <f>G478</f>
        <v>198646.39999999999</v>
      </c>
      <c r="H477" s="26">
        <f>H478</f>
        <v>198646.39999999999</v>
      </c>
    </row>
    <row r="478" spans="1:8" ht="62.4" x14ac:dyDescent="0.3">
      <c r="A478" s="22" t="s">
        <v>51</v>
      </c>
      <c r="B478" s="23"/>
      <c r="C478" s="24" t="s">
        <v>425</v>
      </c>
      <c r="D478" s="24" t="s">
        <v>427</v>
      </c>
      <c r="E478" s="25" t="s">
        <v>308</v>
      </c>
      <c r="F478" s="24">
        <v>600</v>
      </c>
      <c r="G478" s="26">
        <f>178083.6+20562.8</f>
        <v>198646.39999999999</v>
      </c>
      <c r="H478" s="26">
        <f>178083.6+20562.8</f>
        <v>198646.39999999999</v>
      </c>
    </row>
    <row r="479" spans="1:8" ht="187.2" x14ac:dyDescent="0.3">
      <c r="A479" s="22" t="s">
        <v>309</v>
      </c>
      <c r="B479" s="23"/>
      <c r="C479" s="24" t="s">
        <v>425</v>
      </c>
      <c r="D479" s="24" t="s">
        <v>427</v>
      </c>
      <c r="E479" s="25" t="s">
        <v>310</v>
      </c>
      <c r="F479" s="24" t="s">
        <v>529</v>
      </c>
      <c r="G479" s="26">
        <f>G480</f>
        <v>745.19999999999993</v>
      </c>
      <c r="H479" s="26">
        <f>H480</f>
        <v>519.59836000000007</v>
      </c>
    </row>
    <row r="480" spans="1:8" ht="62.4" x14ac:dyDescent="0.3">
      <c r="A480" s="22" t="s">
        <v>51</v>
      </c>
      <c r="B480" s="23"/>
      <c r="C480" s="24" t="s">
        <v>425</v>
      </c>
      <c r="D480" s="24" t="s">
        <v>427</v>
      </c>
      <c r="E480" s="25" t="s">
        <v>310</v>
      </c>
      <c r="F480" s="24">
        <v>600</v>
      </c>
      <c r="G480" s="26">
        <f>672.45792+72.74208</f>
        <v>745.19999999999993</v>
      </c>
      <c r="H480" s="26">
        <f>446.85628+72.74208</f>
        <v>519.59836000000007</v>
      </c>
    </row>
    <row r="481" spans="1:8" ht="62.4" x14ac:dyDescent="0.3">
      <c r="A481" s="22" t="s">
        <v>582</v>
      </c>
      <c r="B481" s="23"/>
      <c r="C481" s="24" t="s">
        <v>425</v>
      </c>
      <c r="D481" s="24" t="s">
        <v>427</v>
      </c>
      <c r="E481" s="25" t="s">
        <v>406</v>
      </c>
      <c r="F481" s="24" t="s">
        <v>529</v>
      </c>
      <c r="G481" s="26">
        <f>G482</f>
        <v>7614.7380000000003</v>
      </c>
      <c r="H481" s="26">
        <f>H482</f>
        <v>6248.0672399999994</v>
      </c>
    </row>
    <row r="482" spans="1:8" ht="62.4" x14ac:dyDescent="0.3">
      <c r="A482" s="22" t="s">
        <v>51</v>
      </c>
      <c r="B482" s="23"/>
      <c r="C482" s="24" t="s">
        <v>425</v>
      </c>
      <c r="D482" s="24" t="s">
        <v>427</v>
      </c>
      <c r="E482" s="25" t="s">
        <v>406</v>
      </c>
      <c r="F482" s="24" t="s">
        <v>402</v>
      </c>
      <c r="G482" s="26">
        <f>6843.738+771</f>
        <v>7614.7380000000003</v>
      </c>
      <c r="H482" s="26">
        <f>5621.78151+626.28573</f>
        <v>6248.0672399999994</v>
      </c>
    </row>
    <row r="483" spans="1:8" ht="78" x14ac:dyDescent="0.3">
      <c r="A483" s="22" t="s">
        <v>300</v>
      </c>
      <c r="B483" s="23"/>
      <c r="C483" s="24" t="s">
        <v>425</v>
      </c>
      <c r="D483" s="24" t="s">
        <v>427</v>
      </c>
      <c r="E483" s="25" t="s">
        <v>311</v>
      </c>
      <c r="F483" s="24" t="s">
        <v>529</v>
      </c>
      <c r="G483" s="26">
        <f>G484</f>
        <v>17905.867109999999</v>
      </c>
      <c r="H483" s="26">
        <f>H484</f>
        <v>17852.509969999999</v>
      </c>
    </row>
    <row r="484" spans="1:8" ht="62.4" x14ac:dyDescent="0.3">
      <c r="A484" s="22" t="s">
        <v>51</v>
      </c>
      <c r="B484" s="23"/>
      <c r="C484" s="24" t="s">
        <v>425</v>
      </c>
      <c r="D484" s="24" t="s">
        <v>427</v>
      </c>
      <c r="E484" s="25" t="s">
        <v>311</v>
      </c>
      <c r="F484" s="24">
        <v>600</v>
      </c>
      <c r="G484" s="26">
        <v>17905.867109999999</v>
      </c>
      <c r="H484" s="26">
        <v>17852.509969999999</v>
      </c>
    </row>
    <row r="485" spans="1:8" ht="31.2" x14ac:dyDescent="0.3">
      <c r="A485" s="22" t="s">
        <v>264</v>
      </c>
      <c r="B485" s="23"/>
      <c r="C485" s="24" t="s">
        <v>425</v>
      </c>
      <c r="D485" s="24" t="s">
        <v>427</v>
      </c>
      <c r="E485" s="25" t="s">
        <v>516</v>
      </c>
      <c r="F485" s="24" t="s">
        <v>529</v>
      </c>
      <c r="G485" s="26">
        <f>G486</f>
        <v>8426.7000000000007</v>
      </c>
      <c r="H485" s="26">
        <f>H486</f>
        <v>8327.8439999999991</v>
      </c>
    </row>
    <row r="486" spans="1:8" ht="62.4" x14ac:dyDescent="0.3">
      <c r="A486" s="22" t="s">
        <v>51</v>
      </c>
      <c r="B486" s="23"/>
      <c r="C486" s="24" t="s">
        <v>425</v>
      </c>
      <c r="D486" s="24" t="s">
        <v>427</v>
      </c>
      <c r="E486" s="25" t="s">
        <v>516</v>
      </c>
      <c r="F486" s="24">
        <v>600</v>
      </c>
      <c r="G486" s="26">
        <v>8426.7000000000007</v>
      </c>
      <c r="H486" s="26">
        <v>8327.8439999999991</v>
      </c>
    </row>
    <row r="487" spans="1:8" ht="78" x14ac:dyDescent="0.3">
      <c r="A487" s="22" t="s">
        <v>441</v>
      </c>
      <c r="B487" s="23"/>
      <c r="C487" s="24" t="s">
        <v>425</v>
      </c>
      <c r="D487" s="24" t="s">
        <v>427</v>
      </c>
      <c r="E487" s="25" t="s">
        <v>440</v>
      </c>
      <c r="F487" s="24" t="s">
        <v>529</v>
      </c>
      <c r="G487" s="26">
        <f>G488</f>
        <v>248.185</v>
      </c>
      <c r="H487" s="26">
        <f>H488</f>
        <v>248.185</v>
      </c>
    </row>
    <row r="488" spans="1:8" ht="62.4" x14ac:dyDescent="0.3">
      <c r="A488" s="22" t="s">
        <v>51</v>
      </c>
      <c r="B488" s="23"/>
      <c r="C488" s="24" t="s">
        <v>425</v>
      </c>
      <c r="D488" s="24" t="s">
        <v>427</v>
      </c>
      <c r="E488" s="25" t="s">
        <v>440</v>
      </c>
      <c r="F488" s="24" t="s">
        <v>402</v>
      </c>
      <c r="G488" s="26">
        <v>248.185</v>
      </c>
      <c r="H488" s="26">
        <v>248.185</v>
      </c>
    </row>
    <row r="489" spans="1:8" ht="93.6" x14ac:dyDescent="0.3">
      <c r="A489" s="22" t="s">
        <v>587</v>
      </c>
      <c r="B489" s="23"/>
      <c r="C489" s="24" t="s">
        <v>425</v>
      </c>
      <c r="D489" s="24" t="s">
        <v>427</v>
      </c>
      <c r="E489" s="25" t="s">
        <v>585</v>
      </c>
      <c r="F489" s="24" t="s">
        <v>529</v>
      </c>
      <c r="G489" s="26">
        <f>G490</f>
        <v>1538.4639999999999</v>
      </c>
      <c r="H489" s="26">
        <f>H490</f>
        <v>1538.4639999999999</v>
      </c>
    </row>
    <row r="490" spans="1:8" ht="62.4" x14ac:dyDescent="0.3">
      <c r="A490" s="22" t="s">
        <v>51</v>
      </c>
      <c r="B490" s="23"/>
      <c r="C490" s="24" t="s">
        <v>425</v>
      </c>
      <c r="D490" s="24" t="s">
        <v>427</v>
      </c>
      <c r="E490" s="25" t="s">
        <v>585</v>
      </c>
      <c r="F490" s="24" t="s">
        <v>402</v>
      </c>
      <c r="G490" s="26">
        <v>1538.4639999999999</v>
      </c>
      <c r="H490" s="26">
        <v>1538.4639999999999</v>
      </c>
    </row>
    <row r="491" spans="1:8" ht="93.6" x14ac:dyDescent="0.3">
      <c r="A491" s="22" t="s">
        <v>588</v>
      </c>
      <c r="B491" s="23"/>
      <c r="C491" s="24" t="s">
        <v>425</v>
      </c>
      <c r="D491" s="24" t="s">
        <v>427</v>
      </c>
      <c r="E491" s="25" t="s">
        <v>586</v>
      </c>
      <c r="F491" s="24" t="s">
        <v>529</v>
      </c>
      <c r="G491" s="26">
        <f>G492</f>
        <v>1820.2919999999999</v>
      </c>
      <c r="H491" s="26">
        <f>H492</f>
        <v>1727.3661099999999</v>
      </c>
    </row>
    <row r="492" spans="1:8" ht="31.2" x14ac:dyDescent="0.3">
      <c r="A492" s="22" t="s">
        <v>435</v>
      </c>
      <c r="B492" s="23"/>
      <c r="C492" s="24" t="s">
        <v>425</v>
      </c>
      <c r="D492" s="24" t="s">
        <v>427</v>
      </c>
      <c r="E492" s="25" t="s">
        <v>586</v>
      </c>
      <c r="F492" s="24" t="s">
        <v>402</v>
      </c>
      <c r="G492" s="26">
        <v>1820.2919999999999</v>
      </c>
      <c r="H492" s="26">
        <v>1727.3661099999999</v>
      </c>
    </row>
    <row r="493" spans="1:8" x14ac:dyDescent="0.3">
      <c r="A493" s="17" t="s">
        <v>178</v>
      </c>
      <c r="B493" s="18"/>
      <c r="C493" s="20" t="s">
        <v>425</v>
      </c>
      <c r="D493" s="20" t="s">
        <v>427</v>
      </c>
      <c r="E493" s="19" t="s">
        <v>179</v>
      </c>
      <c r="F493" s="20" t="s">
        <v>529</v>
      </c>
      <c r="G493" s="21">
        <f>G494+G496+G498</f>
        <v>728.75289999999995</v>
      </c>
      <c r="H493" s="21">
        <f>H494+H496+H498</f>
        <v>607.60289000000012</v>
      </c>
    </row>
    <row r="494" spans="1:8" ht="62.4" x14ac:dyDescent="0.3">
      <c r="A494" s="22" t="s">
        <v>111</v>
      </c>
      <c r="B494" s="23"/>
      <c r="C494" s="24" t="s">
        <v>425</v>
      </c>
      <c r="D494" s="24" t="s">
        <v>427</v>
      </c>
      <c r="E494" s="25" t="s">
        <v>407</v>
      </c>
      <c r="F494" s="24" t="s">
        <v>529</v>
      </c>
      <c r="G494" s="26">
        <f>G495</f>
        <v>40.681899999999999</v>
      </c>
      <c r="H494" s="26">
        <f>H495</f>
        <v>40.681899999999999</v>
      </c>
    </row>
    <row r="495" spans="1:8" ht="62.4" x14ac:dyDescent="0.3">
      <c r="A495" s="22" t="s">
        <v>51</v>
      </c>
      <c r="B495" s="23"/>
      <c r="C495" s="24" t="s">
        <v>425</v>
      </c>
      <c r="D495" s="24" t="s">
        <v>427</v>
      </c>
      <c r="E495" s="25" t="s">
        <v>407</v>
      </c>
      <c r="F495" s="24" t="s">
        <v>402</v>
      </c>
      <c r="G495" s="26">
        <v>40.681899999999999</v>
      </c>
      <c r="H495" s="26">
        <v>40.681899999999999</v>
      </c>
    </row>
    <row r="496" spans="1:8" ht="31.2" x14ac:dyDescent="0.3">
      <c r="A496" s="22" t="s">
        <v>432</v>
      </c>
      <c r="B496" s="23"/>
      <c r="C496" s="24" t="s">
        <v>425</v>
      </c>
      <c r="D496" s="24" t="s">
        <v>427</v>
      </c>
      <c r="E496" s="25" t="s">
        <v>232</v>
      </c>
      <c r="F496" s="24" t="s">
        <v>529</v>
      </c>
      <c r="G496" s="26">
        <f>G497</f>
        <v>142.571</v>
      </c>
      <c r="H496" s="26">
        <f>H497</f>
        <v>142.571</v>
      </c>
    </row>
    <row r="497" spans="1:8" ht="62.4" x14ac:dyDescent="0.3">
      <c r="A497" s="22" t="s">
        <v>51</v>
      </c>
      <c r="B497" s="23"/>
      <c r="C497" s="24" t="s">
        <v>425</v>
      </c>
      <c r="D497" s="24" t="s">
        <v>427</v>
      </c>
      <c r="E497" s="25" t="s">
        <v>232</v>
      </c>
      <c r="F497" s="24" t="s">
        <v>402</v>
      </c>
      <c r="G497" s="26">
        <v>142.571</v>
      </c>
      <c r="H497" s="26">
        <v>142.571</v>
      </c>
    </row>
    <row r="498" spans="1:8" ht="156" x14ac:dyDescent="0.3">
      <c r="A498" s="22" t="s">
        <v>312</v>
      </c>
      <c r="B498" s="23"/>
      <c r="C498" s="24" t="s">
        <v>425</v>
      </c>
      <c r="D498" s="24" t="s">
        <v>427</v>
      </c>
      <c r="E498" s="25" t="s">
        <v>515</v>
      </c>
      <c r="F498" s="24" t="s">
        <v>529</v>
      </c>
      <c r="G498" s="26">
        <f>G499</f>
        <v>545.5</v>
      </c>
      <c r="H498" s="26">
        <f>H499</f>
        <v>424.34999000000005</v>
      </c>
    </row>
    <row r="499" spans="1:8" ht="62.4" x14ac:dyDescent="0.3">
      <c r="A499" s="22" t="s">
        <v>51</v>
      </c>
      <c r="B499" s="23"/>
      <c r="C499" s="24" t="s">
        <v>425</v>
      </c>
      <c r="D499" s="24" t="s">
        <v>427</v>
      </c>
      <c r="E499" s="25" t="s">
        <v>515</v>
      </c>
      <c r="F499" s="24">
        <v>600</v>
      </c>
      <c r="G499" s="26">
        <f>520.79585+24.70415</f>
        <v>545.5</v>
      </c>
      <c r="H499" s="26">
        <f>399.64584+24.70415</f>
        <v>424.34999000000005</v>
      </c>
    </row>
    <row r="500" spans="1:8" ht="46.8" x14ac:dyDescent="0.3">
      <c r="A500" s="17" t="s">
        <v>313</v>
      </c>
      <c r="B500" s="18"/>
      <c r="C500" s="20" t="s">
        <v>425</v>
      </c>
      <c r="D500" s="20" t="s">
        <v>427</v>
      </c>
      <c r="E500" s="19" t="s">
        <v>314</v>
      </c>
      <c r="F500" s="20" t="s">
        <v>529</v>
      </c>
      <c r="G500" s="21">
        <f>G501</f>
        <v>22.5</v>
      </c>
      <c r="H500" s="21">
        <f>H501</f>
        <v>22.5</v>
      </c>
    </row>
    <row r="501" spans="1:8" ht="62.4" x14ac:dyDescent="0.3">
      <c r="A501" s="22" t="s">
        <v>315</v>
      </c>
      <c r="B501" s="23"/>
      <c r="C501" s="24" t="s">
        <v>425</v>
      </c>
      <c r="D501" s="24" t="s">
        <v>427</v>
      </c>
      <c r="E501" s="25" t="s">
        <v>316</v>
      </c>
      <c r="F501" s="24" t="s">
        <v>529</v>
      </c>
      <c r="G501" s="26">
        <f>G502</f>
        <v>22.5</v>
      </c>
      <c r="H501" s="26">
        <f>H502</f>
        <v>22.5</v>
      </c>
    </row>
    <row r="502" spans="1:8" ht="31.2" x14ac:dyDescent="0.3">
      <c r="A502" s="22" t="s">
        <v>77</v>
      </c>
      <c r="B502" s="23"/>
      <c r="C502" s="24" t="s">
        <v>425</v>
      </c>
      <c r="D502" s="24" t="s">
        <v>427</v>
      </c>
      <c r="E502" s="25" t="s">
        <v>316</v>
      </c>
      <c r="F502" s="24">
        <v>200</v>
      </c>
      <c r="G502" s="26">
        <v>22.5</v>
      </c>
      <c r="H502" s="26">
        <v>22.5</v>
      </c>
    </row>
    <row r="503" spans="1:8" ht="31.2" x14ac:dyDescent="0.3">
      <c r="A503" s="17" t="s">
        <v>317</v>
      </c>
      <c r="B503" s="18"/>
      <c r="C503" s="20" t="s">
        <v>425</v>
      </c>
      <c r="D503" s="20" t="s">
        <v>421</v>
      </c>
      <c r="E503" s="19" t="s">
        <v>9</v>
      </c>
      <c r="F503" s="20" t="s">
        <v>529</v>
      </c>
      <c r="G503" s="21">
        <f>G504</f>
        <v>17347.598000000002</v>
      </c>
      <c r="H503" s="21">
        <f>H504</f>
        <v>16504.4565</v>
      </c>
    </row>
    <row r="504" spans="1:8" ht="62.4" x14ac:dyDescent="0.3">
      <c r="A504" s="22" t="s">
        <v>318</v>
      </c>
      <c r="B504" s="23"/>
      <c r="C504" s="24" t="s">
        <v>425</v>
      </c>
      <c r="D504" s="24" t="s">
        <v>421</v>
      </c>
      <c r="E504" s="25" t="s">
        <v>558</v>
      </c>
      <c r="F504" s="24" t="s">
        <v>529</v>
      </c>
      <c r="G504" s="26">
        <f>G505+G507+G509+G511+G513</f>
        <v>17347.598000000002</v>
      </c>
      <c r="H504" s="26">
        <f>H505+H507+H509+H511+H513</f>
        <v>16504.4565</v>
      </c>
    </row>
    <row r="505" spans="1:8" ht="62.4" x14ac:dyDescent="0.3">
      <c r="A505" s="22" t="s">
        <v>318</v>
      </c>
      <c r="B505" s="23"/>
      <c r="C505" s="24" t="s">
        <v>425</v>
      </c>
      <c r="D505" s="24" t="s">
        <v>421</v>
      </c>
      <c r="E505" s="25" t="s">
        <v>517</v>
      </c>
      <c r="F505" s="24" t="s">
        <v>529</v>
      </c>
      <c r="G505" s="26">
        <f>G506</f>
        <v>9758.1995000000006</v>
      </c>
      <c r="H505" s="26">
        <f>H506</f>
        <v>8923.01</v>
      </c>
    </row>
    <row r="506" spans="1:8" ht="62.4" x14ac:dyDescent="0.3">
      <c r="A506" s="22" t="s">
        <v>51</v>
      </c>
      <c r="B506" s="23"/>
      <c r="C506" s="24" t="s">
        <v>425</v>
      </c>
      <c r="D506" s="24" t="s">
        <v>421</v>
      </c>
      <c r="E506" s="25" t="s">
        <v>518</v>
      </c>
      <c r="F506" s="24">
        <v>600</v>
      </c>
      <c r="G506" s="26">
        <f>9758.1995</f>
        <v>9758.1995000000006</v>
      </c>
      <c r="H506" s="26">
        <v>8923.01</v>
      </c>
    </row>
    <row r="507" spans="1:8" ht="78" x14ac:dyDescent="0.3">
      <c r="A507" s="22" t="s">
        <v>175</v>
      </c>
      <c r="B507" s="23"/>
      <c r="C507" s="24" t="s">
        <v>425</v>
      </c>
      <c r="D507" s="24" t="s">
        <v>421</v>
      </c>
      <c r="E507" s="25" t="s">
        <v>319</v>
      </c>
      <c r="F507" s="24" t="s">
        <v>529</v>
      </c>
      <c r="G507" s="26">
        <f>G508</f>
        <v>4793.8</v>
      </c>
      <c r="H507" s="26">
        <f>H508</f>
        <v>4793.8</v>
      </c>
    </row>
    <row r="508" spans="1:8" ht="62.4" x14ac:dyDescent="0.3">
      <c r="A508" s="22" t="s">
        <v>51</v>
      </c>
      <c r="B508" s="23"/>
      <c r="C508" s="24" t="s">
        <v>425</v>
      </c>
      <c r="D508" s="24" t="s">
        <v>421</v>
      </c>
      <c r="E508" s="25" t="s">
        <v>319</v>
      </c>
      <c r="F508" s="24">
        <v>600</v>
      </c>
      <c r="G508" s="26">
        <v>4793.8</v>
      </c>
      <c r="H508" s="26">
        <v>4793.8</v>
      </c>
    </row>
    <row r="509" spans="1:8" ht="46.8" x14ac:dyDescent="0.3">
      <c r="A509" s="22" t="s">
        <v>320</v>
      </c>
      <c r="B509" s="23"/>
      <c r="C509" s="24" t="s">
        <v>425</v>
      </c>
      <c r="D509" s="24" t="s">
        <v>421</v>
      </c>
      <c r="E509" s="25" t="s">
        <v>321</v>
      </c>
      <c r="F509" s="24" t="s">
        <v>529</v>
      </c>
      <c r="G509" s="26">
        <f>G510</f>
        <v>7</v>
      </c>
      <c r="H509" s="26">
        <f>H510</f>
        <v>0</v>
      </c>
    </row>
    <row r="510" spans="1:8" x14ac:dyDescent="0.3">
      <c r="A510" s="22" t="s">
        <v>322</v>
      </c>
      <c r="B510" s="23"/>
      <c r="C510" s="24" t="s">
        <v>425</v>
      </c>
      <c r="D510" s="24" t="s">
        <v>421</v>
      </c>
      <c r="E510" s="25" t="s">
        <v>321</v>
      </c>
      <c r="F510" s="24">
        <v>100</v>
      </c>
      <c r="G510" s="26">
        <v>7</v>
      </c>
      <c r="H510" s="26">
        <v>0</v>
      </c>
    </row>
    <row r="511" spans="1:8" ht="46.8" x14ac:dyDescent="0.3">
      <c r="A511" s="22" t="s">
        <v>589</v>
      </c>
      <c r="B511" s="23"/>
      <c r="C511" s="24" t="s">
        <v>425</v>
      </c>
      <c r="D511" s="24" t="s">
        <v>421</v>
      </c>
      <c r="E511" s="25" t="s">
        <v>139</v>
      </c>
      <c r="F511" s="24" t="s">
        <v>529</v>
      </c>
      <c r="G511" s="26">
        <f>G512</f>
        <v>2705.5985000000001</v>
      </c>
      <c r="H511" s="26">
        <f>H512</f>
        <v>2705.5965000000001</v>
      </c>
    </row>
    <row r="512" spans="1:8" ht="62.4" x14ac:dyDescent="0.3">
      <c r="A512" s="22" t="s">
        <v>51</v>
      </c>
      <c r="B512" s="23"/>
      <c r="C512" s="24" t="s">
        <v>425</v>
      </c>
      <c r="D512" s="24" t="s">
        <v>421</v>
      </c>
      <c r="E512" s="25" t="s">
        <v>139</v>
      </c>
      <c r="F512" s="24" t="s">
        <v>402</v>
      </c>
      <c r="G512" s="26">
        <v>2705.5985000000001</v>
      </c>
      <c r="H512" s="26">
        <v>2705.5965000000001</v>
      </c>
    </row>
    <row r="513" spans="1:8" ht="62.4" x14ac:dyDescent="0.3">
      <c r="A513" s="22" t="s">
        <v>323</v>
      </c>
      <c r="B513" s="23"/>
      <c r="C513" s="24" t="s">
        <v>425</v>
      </c>
      <c r="D513" s="24" t="s">
        <v>421</v>
      </c>
      <c r="E513" s="25" t="s">
        <v>324</v>
      </c>
      <c r="F513" s="24" t="s">
        <v>529</v>
      </c>
      <c r="G513" s="26">
        <f>G514</f>
        <v>83</v>
      </c>
      <c r="H513" s="26">
        <f>H514</f>
        <v>82.05</v>
      </c>
    </row>
    <row r="514" spans="1:8" x14ac:dyDescent="0.3">
      <c r="A514" s="22" t="s">
        <v>322</v>
      </c>
      <c r="B514" s="23"/>
      <c r="C514" s="24" t="s">
        <v>425</v>
      </c>
      <c r="D514" s="24" t="s">
        <v>421</v>
      </c>
      <c r="E514" s="25" t="s">
        <v>324</v>
      </c>
      <c r="F514" s="24">
        <v>100</v>
      </c>
      <c r="G514" s="26">
        <v>83</v>
      </c>
      <c r="H514" s="26">
        <v>82.05</v>
      </c>
    </row>
    <row r="515" spans="1:8" x14ac:dyDescent="0.3">
      <c r="A515" s="17" t="s">
        <v>233</v>
      </c>
      <c r="B515" s="18"/>
      <c r="C515" s="20" t="s">
        <v>425</v>
      </c>
      <c r="D515" s="20" t="s">
        <v>425</v>
      </c>
      <c r="E515" s="19" t="s">
        <v>9</v>
      </c>
      <c r="F515" s="20" t="s">
        <v>529</v>
      </c>
      <c r="G515" s="21">
        <f>G516</f>
        <v>254.3</v>
      </c>
      <c r="H515" s="21">
        <f>H516</f>
        <v>0</v>
      </c>
    </row>
    <row r="516" spans="1:8" ht="46.8" x14ac:dyDescent="0.3">
      <c r="A516" s="17" t="s">
        <v>234</v>
      </c>
      <c r="B516" s="18"/>
      <c r="C516" s="20" t="s">
        <v>425</v>
      </c>
      <c r="D516" s="20" t="s">
        <v>425</v>
      </c>
      <c r="E516" s="19" t="s">
        <v>235</v>
      </c>
      <c r="F516" s="20" t="s">
        <v>529</v>
      </c>
      <c r="G516" s="21">
        <f>G517</f>
        <v>254.3</v>
      </c>
      <c r="H516" s="21">
        <f>H517</f>
        <v>0</v>
      </c>
    </row>
    <row r="517" spans="1:8" ht="124.8" x14ac:dyDescent="0.3">
      <c r="A517" s="22" t="s">
        <v>325</v>
      </c>
      <c r="B517" s="23"/>
      <c r="C517" s="24" t="s">
        <v>425</v>
      </c>
      <c r="D517" s="24" t="s">
        <v>425</v>
      </c>
      <c r="E517" s="25" t="s">
        <v>519</v>
      </c>
      <c r="F517" s="24" t="s">
        <v>529</v>
      </c>
      <c r="G517" s="26">
        <f>G518+G519</f>
        <v>254.3</v>
      </c>
      <c r="H517" s="26">
        <f>H518+H519</f>
        <v>0</v>
      </c>
    </row>
    <row r="518" spans="1:8" ht="31.2" x14ac:dyDescent="0.3">
      <c r="A518" s="22" t="s">
        <v>77</v>
      </c>
      <c r="B518" s="23"/>
      <c r="C518" s="24" t="s">
        <v>425</v>
      </c>
      <c r="D518" s="24" t="s">
        <v>425</v>
      </c>
      <c r="E518" s="25" t="s">
        <v>519</v>
      </c>
      <c r="F518" s="24">
        <v>200</v>
      </c>
      <c r="G518" s="26">
        <f>18+32.22</f>
        <v>50.22</v>
      </c>
      <c r="H518" s="26">
        <f>0</f>
        <v>0</v>
      </c>
    </row>
    <row r="519" spans="1:8" ht="31.2" x14ac:dyDescent="0.3">
      <c r="A519" s="22" t="s">
        <v>148</v>
      </c>
      <c r="B519" s="23"/>
      <c r="C519" s="24" t="s">
        <v>425</v>
      </c>
      <c r="D519" s="24" t="s">
        <v>425</v>
      </c>
      <c r="E519" s="25" t="s">
        <v>519</v>
      </c>
      <c r="F519" s="24">
        <v>300</v>
      </c>
      <c r="G519" s="26">
        <v>204.08</v>
      </c>
      <c r="H519" s="26">
        <v>0</v>
      </c>
    </row>
    <row r="520" spans="1:8" ht="31.2" x14ac:dyDescent="0.3">
      <c r="A520" s="17" t="s">
        <v>326</v>
      </c>
      <c r="B520" s="18"/>
      <c r="C520" s="20" t="s">
        <v>425</v>
      </c>
      <c r="D520" s="20" t="s">
        <v>428</v>
      </c>
      <c r="E520" s="19" t="s">
        <v>9</v>
      </c>
      <c r="F520" s="20" t="s">
        <v>529</v>
      </c>
      <c r="G520" s="21">
        <f>G521+G527+G530+G545</f>
        <v>47631.248550000004</v>
      </c>
      <c r="H520" s="21">
        <f>H521+H527+H530+H545</f>
        <v>47316.957420000006</v>
      </c>
    </row>
    <row r="521" spans="1:8" ht="62.4" x14ac:dyDescent="0.3">
      <c r="A521" s="17" t="s">
        <v>327</v>
      </c>
      <c r="B521" s="18"/>
      <c r="C521" s="20" t="s">
        <v>425</v>
      </c>
      <c r="D521" s="20" t="s">
        <v>428</v>
      </c>
      <c r="E521" s="19" t="s">
        <v>291</v>
      </c>
      <c r="F521" s="20" t="s">
        <v>529</v>
      </c>
      <c r="G521" s="21">
        <f>G522</f>
        <v>47451.248550000004</v>
      </c>
      <c r="H521" s="21">
        <f>H522</f>
        <v>47137.457420000006</v>
      </c>
    </row>
    <row r="522" spans="1:8" ht="31.2" x14ac:dyDescent="0.3">
      <c r="A522" s="22" t="s">
        <v>328</v>
      </c>
      <c r="B522" s="23"/>
      <c r="C522" s="24" t="s">
        <v>425</v>
      </c>
      <c r="D522" s="24" t="s">
        <v>428</v>
      </c>
      <c r="E522" s="25" t="s">
        <v>329</v>
      </c>
      <c r="F522" s="24" t="s">
        <v>529</v>
      </c>
      <c r="G522" s="26">
        <f>G523+G524+G525+G526</f>
        <v>47451.248550000004</v>
      </c>
      <c r="H522" s="26">
        <f>H523+H524+H525+H526</f>
        <v>47137.457420000006</v>
      </c>
    </row>
    <row r="523" spans="1:8" ht="78" x14ac:dyDescent="0.3">
      <c r="A523" s="22" t="s">
        <v>175</v>
      </c>
      <c r="B523" s="23"/>
      <c r="C523" s="24" t="s">
        <v>425</v>
      </c>
      <c r="D523" s="24" t="s">
        <v>428</v>
      </c>
      <c r="E523" s="25" t="s">
        <v>330</v>
      </c>
      <c r="F523" s="24">
        <v>100</v>
      </c>
      <c r="G523" s="26">
        <f>11357+3429.8</f>
        <v>14786.8</v>
      </c>
      <c r="H523" s="26">
        <f>11357+3429.8</f>
        <v>14786.8</v>
      </c>
    </row>
    <row r="524" spans="1:8" ht="78" x14ac:dyDescent="0.3">
      <c r="A524" s="22" t="s">
        <v>120</v>
      </c>
      <c r="B524" s="23"/>
      <c r="C524" s="24" t="s">
        <v>425</v>
      </c>
      <c r="D524" s="24" t="s">
        <v>428</v>
      </c>
      <c r="E524" s="25" t="s">
        <v>331</v>
      </c>
      <c r="F524" s="24">
        <v>100</v>
      </c>
      <c r="G524" s="26">
        <f>23320.25537+12.6889+6970.4085</f>
        <v>30303.352769999998</v>
      </c>
      <c r="H524" s="26">
        <f>23308.19947+12.68751+6970.4085</f>
        <v>30291.295480000001</v>
      </c>
    </row>
    <row r="525" spans="1:8" ht="31.2" x14ac:dyDescent="0.3">
      <c r="A525" s="22" t="s">
        <v>77</v>
      </c>
      <c r="B525" s="23"/>
      <c r="C525" s="24" t="s">
        <v>425</v>
      </c>
      <c r="D525" s="24" t="s">
        <v>428</v>
      </c>
      <c r="E525" s="25" t="s">
        <v>331</v>
      </c>
      <c r="F525" s="24">
        <v>200</v>
      </c>
      <c r="G525" s="26">
        <f>234.68479+2123.91099</f>
        <v>2358.5957799999996</v>
      </c>
      <c r="H525" s="26">
        <f>1837.0941+222.26784</f>
        <v>2059.3619400000002</v>
      </c>
    </row>
    <row r="526" spans="1:8" x14ac:dyDescent="0.3">
      <c r="A526" s="22" t="s">
        <v>19</v>
      </c>
      <c r="B526" s="23"/>
      <c r="C526" s="24" t="s">
        <v>425</v>
      </c>
      <c r="D526" s="24" t="s">
        <v>428</v>
      </c>
      <c r="E526" s="25" t="s">
        <v>331</v>
      </c>
      <c r="F526" s="24">
        <v>800</v>
      </c>
      <c r="G526" s="26">
        <v>2.5</v>
      </c>
      <c r="H526" s="26">
        <v>0</v>
      </c>
    </row>
    <row r="527" spans="1:8" ht="62.4" x14ac:dyDescent="0.3">
      <c r="A527" s="17" t="s">
        <v>436</v>
      </c>
      <c r="B527" s="18"/>
      <c r="C527" s="20" t="s">
        <v>425</v>
      </c>
      <c r="D527" s="20" t="s">
        <v>428</v>
      </c>
      <c r="E527" s="19" t="s">
        <v>408</v>
      </c>
      <c r="F527" s="20" t="s">
        <v>529</v>
      </c>
      <c r="G527" s="21">
        <f>G528</f>
        <v>15</v>
      </c>
      <c r="H527" s="21">
        <f>H528</f>
        <v>15</v>
      </c>
    </row>
    <row r="528" spans="1:8" ht="31.2" x14ac:dyDescent="0.3">
      <c r="A528" s="22" t="s">
        <v>332</v>
      </c>
      <c r="B528" s="23"/>
      <c r="C528" s="24" t="s">
        <v>425</v>
      </c>
      <c r="D528" s="24" t="s">
        <v>428</v>
      </c>
      <c r="E528" s="25" t="s">
        <v>333</v>
      </c>
      <c r="F528" s="24" t="s">
        <v>529</v>
      </c>
      <c r="G528" s="26">
        <f>G529</f>
        <v>15</v>
      </c>
      <c r="H528" s="26">
        <f>H529</f>
        <v>15</v>
      </c>
    </row>
    <row r="529" spans="1:8" ht="31.2" x14ac:dyDescent="0.3">
      <c r="A529" s="22" t="s">
        <v>77</v>
      </c>
      <c r="B529" s="23"/>
      <c r="C529" s="24" t="s">
        <v>425</v>
      </c>
      <c r="D529" s="24" t="s">
        <v>428</v>
      </c>
      <c r="E529" s="25" t="s">
        <v>333</v>
      </c>
      <c r="F529" s="24" t="s">
        <v>394</v>
      </c>
      <c r="G529" s="26">
        <v>15</v>
      </c>
      <c r="H529" s="26">
        <v>15</v>
      </c>
    </row>
    <row r="530" spans="1:8" ht="31.2" x14ac:dyDescent="0.3">
      <c r="A530" s="17" t="s">
        <v>437</v>
      </c>
      <c r="B530" s="18"/>
      <c r="C530" s="20" t="s">
        <v>425</v>
      </c>
      <c r="D530" s="20" t="s">
        <v>428</v>
      </c>
      <c r="E530" s="20" t="s">
        <v>409</v>
      </c>
      <c r="F530" s="20" t="s">
        <v>529</v>
      </c>
      <c r="G530" s="21">
        <f>G531+G533+G535</f>
        <v>75</v>
      </c>
      <c r="H530" s="21">
        <f>H531+H533+H535</f>
        <v>75</v>
      </c>
    </row>
    <row r="531" spans="1:8" ht="46.8" x14ac:dyDescent="0.3">
      <c r="A531" s="22" t="s">
        <v>334</v>
      </c>
      <c r="B531" s="23"/>
      <c r="C531" s="24" t="s">
        <v>425</v>
      </c>
      <c r="D531" s="24" t="s">
        <v>428</v>
      </c>
      <c r="E531" s="25" t="s">
        <v>335</v>
      </c>
      <c r="F531" s="24" t="s">
        <v>529</v>
      </c>
      <c r="G531" s="26">
        <f>G532</f>
        <v>18</v>
      </c>
      <c r="H531" s="26">
        <f>H532</f>
        <v>18</v>
      </c>
    </row>
    <row r="532" spans="1:8" ht="31.2" x14ac:dyDescent="0.3">
      <c r="A532" s="22" t="s">
        <v>77</v>
      </c>
      <c r="B532" s="23"/>
      <c r="C532" s="24" t="s">
        <v>425</v>
      </c>
      <c r="D532" s="24" t="s">
        <v>428</v>
      </c>
      <c r="E532" s="25" t="s">
        <v>335</v>
      </c>
      <c r="F532" s="24">
        <v>200</v>
      </c>
      <c r="G532" s="26">
        <v>18</v>
      </c>
      <c r="H532" s="26">
        <v>18</v>
      </c>
    </row>
    <row r="533" spans="1:8" ht="46.8" x14ac:dyDescent="0.3">
      <c r="A533" s="22" t="s">
        <v>336</v>
      </c>
      <c r="B533" s="23"/>
      <c r="C533" s="24" t="s">
        <v>425</v>
      </c>
      <c r="D533" s="24" t="s">
        <v>428</v>
      </c>
      <c r="E533" s="25" t="s">
        <v>337</v>
      </c>
      <c r="F533" s="24" t="s">
        <v>529</v>
      </c>
      <c r="G533" s="26">
        <f>G534</f>
        <v>12</v>
      </c>
      <c r="H533" s="26">
        <f>H534</f>
        <v>12</v>
      </c>
    </row>
    <row r="534" spans="1:8" ht="31.2" x14ac:dyDescent="0.3">
      <c r="A534" s="22" t="s">
        <v>77</v>
      </c>
      <c r="B534" s="23"/>
      <c r="C534" s="24" t="s">
        <v>425</v>
      </c>
      <c r="D534" s="24" t="s">
        <v>428</v>
      </c>
      <c r="E534" s="25" t="s">
        <v>337</v>
      </c>
      <c r="F534" s="24">
        <v>200</v>
      </c>
      <c r="G534" s="26">
        <v>12</v>
      </c>
      <c r="H534" s="26">
        <v>12</v>
      </c>
    </row>
    <row r="535" spans="1:8" ht="46.8" x14ac:dyDescent="0.3">
      <c r="A535" s="22" t="s">
        <v>338</v>
      </c>
      <c r="B535" s="23"/>
      <c r="C535" s="24" t="s">
        <v>425</v>
      </c>
      <c r="D535" s="24" t="s">
        <v>428</v>
      </c>
      <c r="E535" s="25" t="s">
        <v>339</v>
      </c>
      <c r="F535" s="24" t="s">
        <v>529</v>
      </c>
      <c r="G535" s="26">
        <f>G536</f>
        <v>45</v>
      </c>
      <c r="H535" s="26">
        <f>H536</f>
        <v>45</v>
      </c>
    </row>
    <row r="536" spans="1:8" ht="31.2" x14ac:dyDescent="0.3">
      <c r="A536" s="22" t="s">
        <v>340</v>
      </c>
      <c r="B536" s="23"/>
      <c r="C536" s="24" t="s">
        <v>425</v>
      </c>
      <c r="D536" s="24" t="s">
        <v>428</v>
      </c>
      <c r="E536" s="25" t="s">
        <v>341</v>
      </c>
      <c r="F536" s="24">
        <v>200</v>
      </c>
      <c r="G536" s="26">
        <v>45</v>
      </c>
      <c r="H536" s="26">
        <v>45</v>
      </c>
    </row>
    <row r="537" spans="1:8" ht="31.2" x14ac:dyDescent="0.3">
      <c r="A537" s="17" t="s">
        <v>520</v>
      </c>
      <c r="B537" s="18"/>
      <c r="C537" s="20" t="s">
        <v>425</v>
      </c>
      <c r="D537" s="20" t="s">
        <v>428</v>
      </c>
      <c r="E537" s="19" t="s">
        <v>179</v>
      </c>
      <c r="F537" s="20" t="s">
        <v>529</v>
      </c>
      <c r="G537" s="21">
        <f>G538</f>
        <v>5949.8164499999993</v>
      </c>
      <c r="H537" s="21">
        <f>H538</f>
        <v>5468.0983299999998</v>
      </c>
    </row>
    <row r="538" spans="1:8" ht="31.2" x14ac:dyDescent="0.3">
      <c r="A538" s="17" t="s">
        <v>276</v>
      </c>
      <c r="B538" s="18"/>
      <c r="C538" s="20" t="s">
        <v>425</v>
      </c>
      <c r="D538" s="20" t="s">
        <v>428</v>
      </c>
      <c r="E538" s="19" t="s">
        <v>23</v>
      </c>
      <c r="F538" s="20" t="s">
        <v>529</v>
      </c>
      <c r="G538" s="21">
        <f>G539+G542</f>
        <v>5949.8164499999993</v>
      </c>
      <c r="H538" s="21">
        <f>H539+H542</f>
        <v>5468.0983299999998</v>
      </c>
    </row>
    <row r="539" spans="1:8" ht="46.8" x14ac:dyDescent="0.3">
      <c r="A539" s="22" t="s">
        <v>277</v>
      </c>
      <c r="B539" s="23"/>
      <c r="C539" s="24" t="s">
        <v>425</v>
      </c>
      <c r="D539" s="24" t="s">
        <v>428</v>
      </c>
      <c r="E539" s="25" t="s">
        <v>14</v>
      </c>
      <c r="F539" s="24" t="s">
        <v>529</v>
      </c>
      <c r="G539" s="26">
        <f>G540+G541</f>
        <v>5067.9164499999997</v>
      </c>
      <c r="H539" s="26">
        <f>H540+H541</f>
        <v>4586.1983300000002</v>
      </c>
    </row>
    <row r="540" spans="1:8" ht="78" x14ac:dyDescent="0.3">
      <c r="A540" s="22" t="s">
        <v>120</v>
      </c>
      <c r="B540" s="23"/>
      <c r="C540" s="24" t="s">
        <v>425</v>
      </c>
      <c r="D540" s="24" t="s">
        <v>428</v>
      </c>
      <c r="E540" s="25" t="s">
        <v>342</v>
      </c>
      <c r="F540" s="24">
        <v>100</v>
      </c>
      <c r="G540" s="26">
        <f>3621.17726+15.6668+1073.33093</f>
        <v>4710.1749899999995</v>
      </c>
      <c r="H540" s="26">
        <f>3266.16726+15.6668+966.12093</f>
        <v>4247.9549900000002</v>
      </c>
    </row>
    <row r="541" spans="1:8" ht="31.2" x14ac:dyDescent="0.3">
      <c r="A541" s="22" t="s">
        <v>77</v>
      </c>
      <c r="B541" s="23"/>
      <c r="C541" s="24" t="s">
        <v>425</v>
      </c>
      <c r="D541" s="24" t="s">
        <v>428</v>
      </c>
      <c r="E541" s="25" t="s">
        <v>342</v>
      </c>
      <c r="F541" s="24">
        <v>200</v>
      </c>
      <c r="G541" s="26">
        <f>250.6+107.14146</f>
        <v>357.74145999999996</v>
      </c>
      <c r="H541" s="26">
        <f>231.20898+107.03436</f>
        <v>338.24333999999999</v>
      </c>
    </row>
    <row r="542" spans="1:8" ht="234" x14ac:dyDescent="0.3">
      <c r="A542" s="22" t="s">
        <v>343</v>
      </c>
      <c r="B542" s="23"/>
      <c r="C542" s="24" t="s">
        <v>425</v>
      </c>
      <c r="D542" s="24" t="s">
        <v>428</v>
      </c>
      <c r="E542" s="25" t="s">
        <v>521</v>
      </c>
      <c r="F542" s="24" t="s">
        <v>529</v>
      </c>
      <c r="G542" s="26">
        <f>G543+G544</f>
        <v>881.9</v>
      </c>
      <c r="H542" s="26">
        <f>H543+H544</f>
        <v>881.9</v>
      </c>
    </row>
    <row r="543" spans="1:8" ht="78" x14ac:dyDescent="0.3">
      <c r="A543" s="22" t="s">
        <v>120</v>
      </c>
      <c r="B543" s="23"/>
      <c r="C543" s="24" t="s">
        <v>425</v>
      </c>
      <c r="D543" s="24" t="s">
        <v>428</v>
      </c>
      <c r="E543" s="25" t="s">
        <v>521</v>
      </c>
      <c r="F543" s="24">
        <v>100</v>
      </c>
      <c r="G543" s="26">
        <f>319.88419+1.884+94.36266</f>
        <v>416.13085000000001</v>
      </c>
      <c r="H543" s="26">
        <f>319.88419+1.884+94.36266</f>
        <v>416.13085000000001</v>
      </c>
    </row>
    <row r="544" spans="1:8" ht="31.2" x14ac:dyDescent="0.3">
      <c r="A544" s="22" t="s">
        <v>77</v>
      </c>
      <c r="B544" s="23"/>
      <c r="C544" s="24" t="s">
        <v>425</v>
      </c>
      <c r="D544" s="24" t="s">
        <v>428</v>
      </c>
      <c r="E544" s="25" t="s">
        <v>521</v>
      </c>
      <c r="F544" s="24">
        <v>200</v>
      </c>
      <c r="G544" s="26">
        <f>6.4+459.36915</f>
        <v>465.76914999999997</v>
      </c>
      <c r="H544" s="26">
        <f>6.4+459.36915</f>
        <v>465.76914999999997</v>
      </c>
    </row>
    <row r="545" spans="1:8" ht="62.4" x14ac:dyDescent="0.3">
      <c r="A545" s="17" t="s">
        <v>344</v>
      </c>
      <c r="B545" s="18"/>
      <c r="C545" s="20" t="s">
        <v>425</v>
      </c>
      <c r="D545" s="20" t="s">
        <v>428</v>
      </c>
      <c r="E545" s="19" t="s">
        <v>345</v>
      </c>
      <c r="F545" s="20" t="s">
        <v>529</v>
      </c>
      <c r="G545" s="21">
        <f>G546+G548+G550+G552</f>
        <v>90</v>
      </c>
      <c r="H545" s="21">
        <f>H546+H548+H550+H552</f>
        <v>89.5</v>
      </c>
    </row>
    <row r="546" spans="1:8" ht="46.8" x14ac:dyDescent="0.3">
      <c r="A546" s="22" t="s">
        <v>346</v>
      </c>
      <c r="B546" s="23"/>
      <c r="C546" s="24" t="s">
        <v>425</v>
      </c>
      <c r="D546" s="24" t="s">
        <v>428</v>
      </c>
      <c r="E546" s="25" t="s">
        <v>347</v>
      </c>
      <c r="F546" s="24" t="s">
        <v>529</v>
      </c>
      <c r="G546" s="26">
        <f>G547</f>
        <v>13.5</v>
      </c>
      <c r="H546" s="26">
        <f>H547</f>
        <v>13.5</v>
      </c>
    </row>
    <row r="547" spans="1:8" ht="31.2" x14ac:dyDescent="0.3">
      <c r="A547" s="22" t="s">
        <v>77</v>
      </c>
      <c r="B547" s="23"/>
      <c r="C547" s="24" t="s">
        <v>425</v>
      </c>
      <c r="D547" s="24" t="s">
        <v>428</v>
      </c>
      <c r="E547" s="25" t="s">
        <v>347</v>
      </c>
      <c r="F547" s="24">
        <v>200</v>
      </c>
      <c r="G547" s="26">
        <v>13.5</v>
      </c>
      <c r="H547" s="26">
        <v>13.5</v>
      </c>
    </row>
    <row r="548" spans="1:8" ht="78" x14ac:dyDescent="0.3">
      <c r="A548" s="22" t="s">
        <v>348</v>
      </c>
      <c r="B548" s="23"/>
      <c r="C548" s="24" t="s">
        <v>425</v>
      </c>
      <c r="D548" s="24" t="s">
        <v>428</v>
      </c>
      <c r="E548" s="25" t="s">
        <v>349</v>
      </c>
      <c r="F548" s="24" t="s">
        <v>529</v>
      </c>
      <c r="G548" s="26">
        <f>G549</f>
        <v>9</v>
      </c>
      <c r="H548" s="26">
        <f>H549</f>
        <v>9</v>
      </c>
    </row>
    <row r="549" spans="1:8" ht="31.2" x14ac:dyDescent="0.3">
      <c r="A549" s="22" t="s">
        <v>77</v>
      </c>
      <c r="B549" s="23"/>
      <c r="C549" s="24" t="s">
        <v>425</v>
      </c>
      <c r="D549" s="24" t="s">
        <v>428</v>
      </c>
      <c r="E549" s="25" t="s">
        <v>349</v>
      </c>
      <c r="F549" s="24">
        <v>200</v>
      </c>
      <c r="G549" s="26">
        <v>9</v>
      </c>
      <c r="H549" s="26">
        <v>9</v>
      </c>
    </row>
    <row r="550" spans="1:8" ht="46.8" x14ac:dyDescent="0.3">
      <c r="A550" s="22" t="s">
        <v>350</v>
      </c>
      <c r="B550" s="23"/>
      <c r="C550" s="24" t="s">
        <v>425</v>
      </c>
      <c r="D550" s="24" t="s">
        <v>428</v>
      </c>
      <c r="E550" s="25" t="s">
        <v>351</v>
      </c>
      <c r="F550" s="24" t="s">
        <v>529</v>
      </c>
      <c r="G550" s="26">
        <f>G551</f>
        <v>22.5</v>
      </c>
      <c r="H550" s="26">
        <f>H551</f>
        <v>22.5</v>
      </c>
    </row>
    <row r="551" spans="1:8" ht="31.2" x14ac:dyDescent="0.3">
      <c r="A551" s="22" t="s">
        <v>77</v>
      </c>
      <c r="B551" s="23"/>
      <c r="C551" s="24" t="s">
        <v>425</v>
      </c>
      <c r="D551" s="24" t="s">
        <v>428</v>
      </c>
      <c r="E551" s="25" t="s">
        <v>351</v>
      </c>
      <c r="F551" s="24">
        <v>200</v>
      </c>
      <c r="G551" s="26">
        <v>22.5</v>
      </c>
      <c r="H551" s="26">
        <v>22.5</v>
      </c>
    </row>
    <row r="552" spans="1:8" ht="46.8" x14ac:dyDescent="0.3">
      <c r="A552" s="22" t="s">
        <v>352</v>
      </c>
      <c r="B552" s="23"/>
      <c r="C552" s="24" t="s">
        <v>425</v>
      </c>
      <c r="D552" s="24" t="s">
        <v>428</v>
      </c>
      <c r="E552" s="25" t="s">
        <v>353</v>
      </c>
      <c r="F552" s="24" t="s">
        <v>529</v>
      </c>
      <c r="G552" s="26">
        <f>G553</f>
        <v>45</v>
      </c>
      <c r="H552" s="26">
        <f>H553</f>
        <v>44.5</v>
      </c>
    </row>
    <row r="553" spans="1:8" ht="31.2" x14ac:dyDescent="0.3">
      <c r="A553" s="22" t="s">
        <v>77</v>
      </c>
      <c r="B553" s="23"/>
      <c r="C553" s="24" t="s">
        <v>425</v>
      </c>
      <c r="D553" s="24" t="s">
        <v>428</v>
      </c>
      <c r="E553" s="25" t="s">
        <v>353</v>
      </c>
      <c r="F553" s="24">
        <v>200</v>
      </c>
      <c r="G553" s="26">
        <v>45</v>
      </c>
      <c r="H553" s="26">
        <v>44.5</v>
      </c>
    </row>
    <row r="554" spans="1:8" x14ac:dyDescent="0.3">
      <c r="A554" s="17" t="s">
        <v>143</v>
      </c>
      <c r="B554" s="18"/>
      <c r="C554" s="20">
        <v>10</v>
      </c>
      <c r="D554" s="20" t="s">
        <v>392</v>
      </c>
      <c r="E554" s="19" t="s">
        <v>9</v>
      </c>
      <c r="F554" s="20" t="s">
        <v>529</v>
      </c>
      <c r="G554" s="21">
        <f>G555</f>
        <v>4784</v>
      </c>
      <c r="H554" s="21">
        <f>H555</f>
        <v>4757.3307199999999</v>
      </c>
    </row>
    <row r="555" spans="1:8" x14ac:dyDescent="0.3">
      <c r="A555" s="17" t="s">
        <v>161</v>
      </c>
      <c r="B555" s="18"/>
      <c r="C555" s="20">
        <v>10</v>
      </c>
      <c r="D555" s="20" t="s">
        <v>422</v>
      </c>
      <c r="E555" s="19" t="s">
        <v>9</v>
      </c>
      <c r="F555" s="20" t="s">
        <v>529</v>
      </c>
      <c r="G555" s="21">
        <f>G556</f>
        <v>4784</v>
      </c>
      <c r="H555" s="21">
        <f>H556</f>
        <v>4757.3307199999999</v>
      </c>
    </row>
    <row r="556" spans="1:8" ht="218.4" x14ac:dyDescent="0.3">
      <c r="A556" s="22" t="s">
        <v>354</v>
      </c>
      <c r="B556" s="23"/>
      <c r="C556" s="24">
        <v>10</v>
      </c>
      <c r="D556" s="24" t="s">
        <v>422</v>
      </c>
      <c r="E556" s="25" t="s">
        <v>355</v>
      </c>
      <c r="F556" s="24" t="s">
        <v>529</v>
      </c>
      <c r="G556" s="26">
        <f>G557+G558</f>
        <v>4784</v>
      </c>
      <c r="H556" s="26">
        <f>H557+H558</f>
        <v>4757.3307199999999</v>
      </c>
    </row>
    <row r="557" spans="1:8" ht="31.2" x14ac:dyDescent="0.3">
      <c r="A557" s="22" t="s">
        <v>77</v>
      </c>
      <c r="B557" s="23"/>
      <c r="C557" s="24">
        <v>10</v>
      </c>
      <c r="D557" s="24" t="s">
        <v>422</v>
      </c>
      <c r="E557" s="25" t="s">
        <v>355</v>
      </c>
      <c r="F557" s="24">
        <v>200</v>
      </c>
      <c r="G557" s="26">
        <v>87.3</v>
      </c>
      <c r="H557" s="26">
        <v>60.70147</v>
      </c>
    </row>
    <row r="558" spans="1:8" ht="31.2" x14ac:dyDescent="0.3">
      <c r="A558" s="22" t="s">
        <v>148</v>
      </c>
      <c r="B558" s="23"/>
      <c r="C558" s="24">
        <v>10</v>
      </c>
      <c r="D558" s="24" t="s">
        <v>422</v>
      </c>
      <c r="E558" s="25" t="s">
        <v>355</v>
      </c>
      <c r="F558" s="24">
        <v>300</v>
      </c>
      <c r="G558" s="26">
        <v>4696.7</v>
      </c>
      <c r="H558" s="26">
        <v>4696.62925</v>
      </c>
    </row>
    <row r="559" spans="1:8" ht="62.4" x14ac:dyDescent="0.3">
      <c r="A559" s="17" t="s">
        <v>356</v>
      </c>
      <c r="B559" s="28" t="s">
        <v>442</v>
      </c>
      <c r="C559" s="20"/>
      <c r="D559" s="20"/>
      <c r="E559" s="19"/>
      <c r="F559" s="20"/>
      <c r="G559" s="21">
        <f>G560</f>
        <v>34880.651619999997</v>
      </c>
      <c r="H559" s="21">
        <f>H560</f>
        <v>34878.53256</v>
      </c>
    </row>
    <row r="560" spans="1:8" x14ac:dyDescent="0.3">
      <c r="A560" s="17" t="s">
        <v>73</v>
      </c>
      <c r="B560" s="18"/>
      <c r="C560" s="20" t="s">
        <v>422</v>
      </c>
      <c r="D560" s="20" t="s">
        <v>423</v>
      </c>
      <c r="E560" s="19" t="s">
        <v>9</v>
      </c>
      <c r="F560" s="20" t="s">
        <v>529</v>
      </c>
      <c r="G560" s="21">
        <f>G561</f>
        <v>34880.651619999997</v>
      </c>
      <c r="H560" s="21">
        <f>H561</f>
        <v>34878.53256</v>
      </c>
    </row>
    <row r="561" spans="1:8" ht="31.2" x14ac:dyDescent="0.3">
      <c r="A561" s="17" t="s">
        <v>357</v>
      </c>
      <c r="B561" s="18"/>
      <c r="C561" s="20" t="s">
        <v>422</v>
      </c>
      <c r="D561" s="20" t="s">
        <v>423</v>
      </c>
      <c r="E561" s="19" t="s">
        <v>9</v>
      </c>
      <c r="F561" s="20" t="s">
        <v>529</v>
      </c>
      <c r="G561" s="21">
        <f>G562+G575</f>
        <v>34880.651619999997</v>
      </c>
      <c r="H561" s="21">
        <f>H562+H575</f>
        <v>34878.53256</v>
      </c>
    </row>
    <row r="562" spans="1:8" ht="93.6" x14ac:dyDescent="0.3">
      <c r="A562" s="17" t="s">
        <v>358</v>
      </c>
      <c r="B562" s="18"/>
      <c r="C562" s="20" t="s">
        <v>422</v>
      </c>
      <c r="D562" s="20" t="s">
        <v>423</v>
      </c>
      <c r="E562" s="19" t="s">
        <v>359</v>
      </c>
      <c r="F562" s="20" t="s">
        <v>529</v>
      </c>
      <c r="G562" s="21">
        <f>G563+G564+G565+G566+G567+G568+G569+G570+G571+G572+G573+G574</f>
        <v>29504.485939999999</v>
      </c>
      <c r="H562" s="21">
        <f>H563+H564+H565+H566+H567+H568+H569+H570+H571+H572+H573+H574</f>
        <v>29504.485939999999</v>
      </c>
    </row>
    <row r="563" spans="1:8" ht="124.8" x14ac:dyDescent="0.3">
      <c r="A563" s="22" t="s">
        <v>438</v>
      </c>
      <c r="B563" s="23"/>
      <c r="C563" s="24" t="s">
        <v>422</v>
      </c>
      <c r="D563" s="24" t="s">
        <v>423</v>
      </c>
      <c r="E563" s="25" t="s">
        <v>577</v>
      </c>
      <c r="F563" s="24" t="s">
        <v>401</v>
      </c>
      <c r="G563" s="26">
        <v>348.82799999999997</v>
      </c>
      <c r="H563" s="26">
        <v>348.82799999999997</v>
      </c>
    </row>
    <row r="564" spans="1:8" ht="46.8" x14ac:dyDescent="0.3">
      <c r="A564" s="22" t="s">
        <v>360</v>
      </c>
      <c r="B564" s="23"/>
      <c r="C564" s="24" t="s">
        <v>422</v>
      </c>
      <c r="D564" s="24" t="s">
        <v>423</v>
      </c>
      <c r="E564" s="24" t="s">
        <v>410</v>
      </c>
      <c r="F564" s="24">
        <v>800</v>
      </c>
      <c r="G564" s="26">
        <v>4520.8469999999998</v>
      </c>
      <c r="H564" s="26">
        <v>4520.8469999999998</v>
      </c>
    </row>
    <row r="565" spans="1:8" ht="46.8" x14ac:dyDescent="0.3">
      <c r="A565" s="22" t="s">
        <v>361</v>
      </c>
      <c r="B565" s="23"/>
      <c r="C565" s="24" t="s">
        <v>422</v>
      </c>
      <c r="D565" s="24" t="s">
        <v>423</v>
      </c>
      <c r="E565" s="24" t="s">
        <v>411</v>
      </c>
      <c r="F565" s="24">
        <v>800</v>
      </c>
      <c r="G565" s="26">
        <v>274.60903999999999</v>
      </c>
      <c r="H565" s="26">
        <v>274.60903999999999</v>
      </c>
    </row>
    <row r="566" spans="1:8" ht="46.8" x14ac:dyDescent="0.3">
      <c r="A566" s="22" t="s">
        <v>522</v>
      </c>
      <c r="B566" s="23"/>
      <c r="C566" s="24" t="s">
        <v>422</v>
      </c>
      <c r="D566" s="24" t="s">
        <v>423</v>
      </c>
      <c r="E566" s="24" t="s">
        <v>412</v>
      </c>
      <c r="F566" s="24">
        <v>800</v>
      </c>
      <c r="G566" s="26">
        <v>54</v>
      </c>
      <c r="H566" s="26">
        <v>54</v>
      </c>
    </row>
    <row r="567" spans="1:8" ht="31.2" x14ac:dyDescent="0.3">
      <c r="A567" s="22" t="s">
        <v>523</v>
      </c>
      <c r="B567" s="23"/>
      <c r="C567" s="24" t="s">
        <v>422</v>
      </c>
      <c r="D567" s="24" t="s">
        <v>423</v>
      </c>
      <c r="E567" s="24" t="s">
        <v>413</v>
      </c>
      <c r="F567" s="24">
        <v>800</v>
      </c>
      <c r="G567" s="26">
        <v>16646.771000000001</v>
      </c>
      <c r="H567" s="26">
        <v>16646.771000000001</v>
      </c>
    </row>
    <row r="568" spans="1:8" ht="78" x14ac:dyDescent="0.3">
      <c r="A568" s="22" t="s">
        <v>578</v>
      </c>
      <c r="B568" s="23"/>
      <c r="C568" s="24" t="s">
        <v>422</v>
      </c>
      <c r="D568" s="24" t="s">
        <v>423</v>
      </c>
      <c r="E568" s="24" t="s">
        <v>414</v>
      </c>
      <c r="F568" s="24" t="s">
        <v>401</v>
      </c>
      <c r="G568" s="26">
        <v>3730.8004500000002</v>
      </c>
      <c r="H568" s="26">
        <v>3730.8004500000002</v>
      </c>
    </row>
    <row r="569" spans="1:8" ht="78" x14ac:dyDescent="0.3">
      <c r="A569" s="22" t="s">
        <v>579</v>
      </c>
      <c r="B569" s="23"/>
      <c r="C569" s="24" t="s">
        <v>422</v>
      </c>
      <c r="D569" s="24" t="s">
        <v>423</v>
      </c>
      <c r="E569" s="24" t="s">
        <v>415</v>
      </c>
      <c r="F569" s="24" t="s">
        <v>401</v>
      </c>
      <c r="G569" s="26">
        <v>2887.4844499999999</v>
      </c>
      <c r="H569" s="26">
        <v>2887.4844499999999</v>
      </c>
    </row>
    <row r="570" spans="1:8" ht="46.8" x14ac:dyDescent="0.3">
      <c r="A570" s="22" t="s">
        <v>524</v>
      </c>
      <c r="B570" s="23"/>
      <c r="C570" s="24" t="s">
        <v>422</v>
      </c>
      <c r="D570" s="24" t="s">
        <v>423</v>
      </c>
      <c r="E570" s="24" t="s">
        <v>416</v>
      </c>
      <c r="F570" s="24">
        <v>800</v>
      </c>
      <c r="G570" s="26">
        <v>8.1270000000000007</v>
      </c>
      <c r="H570" s="26">
        <v>8.1270000000000007</v>
      </c>
    </row>
    <row r="571" spans="1:8" ht="46.8" x14ac:dyDescent="0.3">
      <c r="A571" s="22" t="s">
        <v>362</v>
      </c>
      <c r="B571" s="23"/>
      <c r="C571" s="24" t="s">
        <v>422</v>
      </c>
      <c r="D571" s="24" t="s">
        <v>423</v>
      </c>
      <c r="E571" s="25" t="s">
        <v>417</v>
      </c>
      <c r="F571" s="24">
        <v>800</v>
      </c>
      <c r="G571" s="26">
        <v>23.018999999999998</v>
      </c>
      <c r="H571" s="26">
        <v>23.018999999999998</v>
      </c>
    </row>
    <row r="572" spans="1:8" ht="109.2" x14ac:dyDescent="0.3">
      <c r="A572" s="22" t="s">
        <v>363</v>
      </c>
      <c r="B572" s="23"/>
      <c r="C572" s="24" t="s">
        <v>422</v>
      </c>
      <c r="D572" s="24" t="s">
        <v>423</v>
      </c>
      <c r="E572" s="25" t="s">
        <v>364</v>
      </c>
      <c r="F572" s="24">
        <v>800</v>
      </c>
      <c r="G572" s="26">
        <v>810</v>
      </c>
      <c r="H572" s="26">
        <v>810</v>
      </c>
    </row>
    <row r="573" spans="1:8" ht="140.4" x14ac:dyDescent="0.3">
      <c r="A573" s="22" t="s">
        <v>365</v>
      </c>
      <c r="B573" s="23"/>
      <c r="C573" s="24" t="s">
        <v>422</v>
      </c>
      <c r="D573" s="24" t="s">
        <v>423</v>
      </c>
      <c r="E573" s="25" t="s">
        <v>366</v>
      </c>
      <c r="F573" s="24">
        <v>200</v>
      </c>
      <c r="G573" s="26">
        <v>20</v>
      </c>
      <c r="H573" s="26">
        <v>20</v>
      </c>
    </row>
    <row r="574" spans="1:8" ht="46.8" x14ac:dyDescent="0.3">
      <c r="A574" s="22" t="s">
        <v>367</v>
      </c>
      <c r="B574" s="23"/>
      <c r="C574" s="24" t="s">
        <v>422</v>
      </c>
      <c r="D574" s="24" t="s">
        <v>423</v>
      </c>
      <c r="E574" s="25" t="s">
        <v>368</v>
      </c>
      <c r="F574" s="24">
        <v>800</v>
      </c>
      <c r="G574" s="26">
        <v>180</v>
      </c>
      <c r="H574" s="26">
        <v>180</v>
      </c>
    </row>
    <row r="575" spans="1:8" ht="78" x14ac:dyDescent="0.3">
      <c r="A575" s="17" t="s">
        <v>369</v>
      </c>
      <c r="B575" s="18"/>
      <c r="C575" s="20" t="s">
        <v>422</v>
      </c>
      <c r="D575" s="20" t="s">
        <v>423</v>
      </c>
      <c r="E575" s="19" t="s">
        <v>576</v>
      </c>
      <c r="F575" s="20" t="s">
        <v>529</v>
      </c>
      <c r="G575" s="21">
        <f>G576+G578+G581</f>
        <v>5376.165680000001</v>
      </c>
      <c r="H575" s="21">
        <f>H576+H578+H581</f>
        <v>5374.046620000001</v>
      </c>
    </row>
    <row r="576" spans="1:8" ht="124.8" x14ac:dyDescent="0.3">
      <c r="A576" s="22" t="s">
        <v>370</v>
      </c>
      <c r="B576" s="23"/>
      <c r="C576" s="24" t="s">
        <v>422</v>
      </c>
      <c r="D576" s="24" t="s">
        <v>423</v>
      </c>
      <c r="E576" s="25" t="s">
        <v>418</v>
      </c>
      <c r="F576" s="24" t="s">
        <v>529</v>
      </c>
      <c r="G576" s="26">
        <f>G577</f>
        <v>410.60699</v>
      </c>
      <c r="H576" s="26">
        <f>H577</f>
        <v>408.48793000000001</v>
      </c>
    </row>
    <row r="577" spans="1:8" ht="31.2" x14ac:dyDescent="0.3">
      <c r="A577" s="22" t="s">
        <v>77</v>
      </c>
      <c r="B577" s="23"/>
      <c r="C577" s="24" t="s">
        <v>422</v>
      </c>
      <c r="D577" s="24" t="s">
        <v>423</v>
      </c>
      <c r="E577" s="25" t="s">
        <v>418</v>
      </c>
      <c r="F577" s="24">
        <v>200</v>
      </c>
      <c r="G577" s="26">
        <v>410.60699</v>
      </c>
      <c r="H577" s="26">
        <v>408.48793000000001</v>
      </c>
    </row>
    <row r="578" spans="1:8" ht="46.8" x14ac:dyDescent="0.3">
      <c r="A578" s="22" t="s">
        <v>15</v>
      </c>
      <c r="B578" s="23"/>
      <c r="C578" s="24" t="s">
        <v>422</v>
      </c>
      <c r="D578" s="24" t="s">
        <v>423</v>
      </c>
      <c r="E578" s="25" t="s">
        <v>525</v>
      </c>
      <c r="F578" s="24" t="s">
        <v>529</v>
      </c>
      <c r="G578" s="26">
        <f>G579+G580</f>
        <v>332.85869000000002</v>
      </c>
      <c r="H578" s="26">
        <f>H579+H580</f>
        <v>332.85869000000002</v>
      </c>
    </row>
    <row r="579" spans="1:8" ht="62.4" x14ac:dyDescent="0.3">
      <c r="A579" s="22" t="s">
        <v>12</v>
      </c>
      <c r="B579" s="23"/>
      <c r="C579" s="24" t="s">
        <v>422</v>
      </c>
      <c r="D579" s="24" t="s">
        <v>423</v>
      </c>
      <c r="E579" s="25" t="s">
        <v>371</v>
      </c>
      <c r="F579" s="24">
        <v>100</v>
      </c>
      <c r="G579" s="26">
        <f>201.88833+60.97036</f>
        <v>262.85869000000002</v>
      </c>
      <c r="H579" s="26">
        <f>201.88833+60.97036</f>
        <v>262.85869000000002</v>
      </c>
    </row>
    <row r="580" spans="1:8" ht="31.2" x14ac:dyDescent="0.3">
      <c r="A580" s="22" t="s">
        <v>77</v>
      </c>
      <c r="B580" s="23"/>
      <c r="C580" s="24" t="s">
        <v>422</v>
      </c>
      <c r="D580" s="24" t="s">
        <v>423</v>
      </c>
      <c r="E580" s="25" t="s">
        <v>371</v>
      </c>
      <c r="F580" s="24">
        <v>200</v>
      </c>
      <c r="G580" s="26">
        <v>70</v>
      </c>
      <c r="H580" s="26">
        <v>70</v>
      </c>
    </row>
    <row r="581" spans="1:8" ht="62.4" x14ac:dyDescent="0.3">
      <c r="A581" s="22" t="s">
        <v>372</v>
      </c>
      <c r="B581" s="23"/>
      <c r="C581" s="24" t="s">
        <v>422</v>
      </c>
      <c r="D581" s="24" t="s">
        <v>423</v>
      </c>
      <c r="E581" s="25" t="s">
        <v>373</v>
      </c>
      <c r="F581" s="24" t="s">
        <v>529</v>
      </c>
      <c r="G581" s="26">
        <f>G582+G583+G584</f>
        <v>4632.7000000000007</v>
      </c>
      <c r="H581" s="26">
        <f>H582+H583+H584</f>
        <v>4632.7000000000007</v>
      </c>
    </row>
    <row r="582" spans="1:8" ht="62.4" x14ac:dyDescent="0.3">
      <c r="A582" s="22" t="s">
        <v>12</v>
      </c>
      <c r="B582" s="23"/>
      <c r="C582" s="24" t="s">
        <v>422</v>
      </c>
      <c r="D582" s="24" t="s">
        <v>423</v>
      </c>
      <c r="E582" s="25" t="s">
        <v>373</v>
      </c>
      <c r="F582" s="24">
        <v>100</v>
      </c>
      <c r="G582" s="26">
        <f>2738.49204+1.463+818.8892</f>
        <v>3558.8442400000004</v>
      </c>
      <c r="H582" s="26">
        <f>2738.49204+1.463+818.8892</f>
        <v>3558.8442400000004</v>
      </c>
    </row>
    <row r="583" spans="1:8" ht="31.2" x14ac:dyDescent="0.3">
      <c r="A583" s="22" t="s">
        <v>77</v>
      </c>
      <c r="B583" s="23"/>
      <c r="C583" s="24" t="s">
        <v>422</v>
      </c>
      <c r="D583" s="24" t="s">
        <v>423</v>
      </c>
      <c r="E583" s="25" t="s">
        <v>373</v>
      </c>
      <c r="F583" s="24">
        <v>200</v>
      </c>
      <c r="G583" s="26">
        <f>164.174+906.83176</f>
        <v>1071.00576</v>
      </c>
      <c r="H583" s="26">
        <f>164.174+906.83176</f>
        <v>1071.00576</v>
      </c>
    </row>
    <row r="584" spans="1:8" x14ac:dyDescent="0.3">
      <c r="A584" s="22" t="s">
        <v>19</v>
      </c>
      <c r="B584" s="23"/>
      <c r="C584" s="24" t="s">
        <v>422</v>
      </c>
      <c r="D584" s="24" t="s">
        <v>423</v>
      </c>
      <c r="E584" s="25" t="s">
        <v>373</v>
      </c>
      <c r="F584" s="24">
        <v>800</v>
      </c>
      <c r="G584" s="26">
        <v>2.85</v>
      </c>
      <c r="H584" s="26">
        <v>2.85</v>
      </c>
    </row>
    <row r="585" spans="1:8" ht="62.4" x14ac:dyDescent="0.3">
      <c r="A585" s="17" t="s">
        <v>374</v>
      </c>
      <c r="B585" s="18">
        <v>366</v>
      </c>
      <c r="C585" s="20"/>
      <c r="D585" s="20"/>
      <c r="E585" s="19"/>
      <c r="F585" s="20"/>
      <c r="G585" s="21">
        <f>G586+G597+G605</f>
        <v>11979.31322</v>
      </c>
      <c r="H585" s="21">
        <f>H586+H597+H605</f>
        <v>11638.898249999998</v>
      </c>
    </row>
    <row r="586" spans="1:8" ht="31.2" x14ac:dyDescent="0.3">
      <c r="A586" s="17" t="s">
        <v>30</v>
      </c>
      <c r="B586" s="18"/>
      <c r="C586" s="20" t="s">
        <v>391</v>
      </c>
      <c r="D586" s="20" t="s">
        <v>392</v>
      </c>
      <c r="E586" s="19" t="s">
        <v>9</v>
      </c>
      <c r="F586" s="20" t="s">
        <v>529</v>
      </c>
      <c r="G586" s="21">
        <f>G587</f>
        <v>9262.0353500000001</v>
      </c>
      <c r="H586" s="21">
        <f>H587</f>
        <v>9142.0347000000002</v>
      </c>
    </row>
    <row r="587" spans="1:8" ht="31.2" x14ac:dyDescent="0.3">
      <c r="A587" s="17" t="s">
        <v>276</v>
      </c>
      <c r="B587" s="18"/>
      <c r="C587" s="20" t="s">
        <v>391</v>
      </c>
      <c r="D587" s="20">
        <v>13</v>
      </c>
      <c r="E587" s="19" t="s">
        <v>9</v>
      </c>
      <c r="F587" s="20" t="s">
        <v>529</v>
      </c>
      <c r="G587" s="21">
        <f>G588+G592+G594</f>
        <v>9262.0353500000001</v>
      </c>
      <c r="H587" s="21">
        <f>H588+H592+H594</f>
        <v>9142.0347000000002</v>
      </c>
    </row>
    <row r="588" spans="1:8" ht="46.8" x14ac:dyDescent="0.3">
      <c r="A588" s="22" t="s">
        <v>277</v>
      </c>
      <c r="B588" s="23"/>
      <c r="C588" s="24" t="s">
        <v>391</v>
      </c>
      <c r="D588" s="24">
        <v>13</v>
      </c>
      <c r="E588" s="25" t="s">
        <v>17</v>
      </c>
      <c r="F588" s="24" t="s">
        <v>529</v>
      </c>
      <c r="G588" s="26">
        <f>G589+G590+G591</f>
        <v>7914.9937599999994</v>
      </c>
      <c r="H588" s="26">
        <f>H589+H590+H591</f>
        <v>7887.2005399999998</v>
      </c>
    </row>
    <row r="589" spans="1:8" ht="62.4" x14ac:dyDescent="0.3">
      <c r="A589" s="22" t="s">
        <v>12</v>
      </c>
      <c r="B589" s="23"/>
      <c r="C589" s="24" t="s">
        <v>391</v>
      </c>
      <c r="D589" s="24">
        <v>13</v>
      </c>
      <c r="E589" s="25" t="s">
        <v>375</v>
      </c>
      <c r="F589" s="24">
        <v>100</v>
      </c>
      <c r="G589" s="26">
        <f>5284.00352+1580.9</f>
        <v>6864.9035199999998</v>
      </c>
      <c r="H589" s="26">
        <f>5274.10273+1578.52545</f>
        <v>6852.6281799999997</v>
      </c>
    </row>
    <row r="590" spans="1:8" ht="31.2" x14ac:dyDescent="0.3">
      <c r="A590" s="22" t="s">
        <v>77</v>
      </c>
      <c r="B590" s="23"/>
      <c r="C590" s="24" t="s">
        <v>391</v>
      </c>
      <c r="D590" s="24">
        <v>13</v>
      </c>
      <c r="E590" s="25" t="s">
        <v>375</v>
      </c>
      <c r="F590" s="24">
        <v>200</v>
      </c>
      <c r="G590" s="26">
        <f>554.85+495.24024</f>
        <v>1050.09024</v>
      </c>
      <c r="H590" s="26">
        <f>540.15205+494.42031</f>
        <v>1034.5723600000001</v>
      </c>
    </row>
    <row r="591" spans="1:8" x14ac:dyDescent="0.3">
      <c r="A591" s="22" t="s">
        <v>19</v>
      </c>
      <c r="B591" s="23"/>
      <c r="C591" s="24" t="s">
        <v>391</v>
      </c>
      <c r="D591" s="24">
        <v>13</v>
      </c>
      <c r="E591" s="25" t="s">
        <v>375</v>
      </c>
      <c r="F591" s="24">
        <v>800</v>
      </c>
      <c r="G591" s="26">
        <v>0</v>
      </c>
      <c r="H591" s="26">
        <v>0</v>
      </c>
    </row>
    <row r="592" spans="1:8" ht="124.8" x14ac:dyDescent="0.3">
      <c r="A592" s="22" t="s">
        <v>376</v>
      </c>
      <c r="B592" s="23"/>
      <c r="C592" s="24" t="s">
        <v>391</v>
      </c>
      <c r="D592" s="24">
        <v>13</v>
      </c>
      <c r="E592" s="25" t="s">
        <v>377</v>
      </c>
      <c r="F592" s="24" t="s">
        <v>529</v>
      </c>
      <c r="G592" s="26">
        <f>G593</f>
        <v>250</v>
      </c>
      <c r="H592" s="26">
        <f>H593</f>
        <v>238.70322999999999</v>
      </c>
    </row>
    <row r="593" spans="1:8" ht="31.2" x14ac:dyDescent="0.3">
      <c r="A593" s="22" t="s">
        <v>77</v>
      </c>
      <c r="B593" s="23"/>
      <c r="C593" s="24" t="s">
        <v>391</v>
      </c>
      <c r="D593" s="24">
        <v>13</v>
      </c>
      <c r="E593" s="25" t="s">
        <v>377</v>
      </c>
      <c r="F593" s="24">
        <v>200</v>
      </c>
      <c r="G593" s="26">
        <v>250</v>
      </c>
      <c r="H593" s="26">
        <v>238.70322999999999</v>
      </c>
    </row>
    <row r="594" spans="1:8" ht="31.2" x14ac:dyDescent="0.3">
      <c r="A594" s="22" t="s">
        <v>42</v>
      </c>
      <c r="B594" s="23"/>
      <c r="C594" s="24" t="s">
        <v>391</v>
      </c>
      <c r="D594" s="24">
        <v>13</v>
      </c>
      <c r="E594" s="25" t="s">
        <v>43</v>
      </c>
      <c r="F594" s="24" t="s">
        <v>529</v>
      </c>
      <c r="G594" s="26">
        <f>G595+G596</f>
        <v>1097.04159</v>
      </c>
      <c r="H594" s="26">
        <f>H595+H596</f>
        <v>1016.13093</v>
      </c>
    </row>
    <row r="595" spans="1:8" ht="31.2" x14ac:dyDescent="0.3">
      <c r="A595" s="22" t="s">
        <v>77</v>
      </c>
      <c r="B595" s="23"/>
      <c r="C595" s="24" t="s">
        <v>391</v>
      </c>
      <c r="D595" s="24">
        <v>13</v>
      </c>
      <c r="E595" s="25" t="s">
        <v>43</v>
      </c>
      <c r="F595" s="24">
        <v>200</v>
      </c>
      <c r="G595" s="26">
        <f>1082.22296</f>
        <v>1082.2229600000001</v>
      </c>
      <c r="H595" s="26">
        <f>1001.3123</f>
        <v>1001.3123000000001</v>
      </c>
    </row>
    <row r="596" spans="1:8" x14ac:dyDescent="0.3">
      <c r="A596" s="22" t="s">
        <v>19</v>
      </c>
      <c r="B596" s="23"/>
      <c r="C596" s="24" t="s">
        <v>391</v>
      </c>
      <c r="D596" s="24">
        <v>13</v>
      </c>
      <c r="E596" s="25" t="s">
        <v>43</v>
      </c>
      <c r="F596" s="24">
        <v>800</v>
      </c>
      <c r="G596" s="26">
        <f>14.81863</f>
        <v>14.818630000000001</v>
      </c>
      <c r="H596" s="26">
        <f>14.81863</f>
        <v>14.818630000000001</v>
      </c>
    </row>
    <row r="597" spans="1:8" x14ac:dyDescent="0.3">
      <c r="A597" s="17" t="s">
        <v>73</v>
      </c>
      <c r="B597" s="18"/>
      <c r="C597" s="20" t="s">
        <v>422</v>
      </c>
      <c r="D597" s="20" t="s">
        <v>392</v>
      </c>
      <c r="E597" s="19" t="s">
        <v>9</v>
      </c>
      <c r="F597" s="20" t="s">
        <v>529</v>
      </c>
      <c r="G597" s="21">
        <f>G598</f>
        <v>582.29265999999996</v>
      </c>
      <c r="H597" s="21">
        <f>H598</f>
        <v>564.29265999999996</v>
      </c>
    </row>
    <row r="598" spans="1:8" ht="31.2" x14ac:dyDescent="0.3">
      <c r="A598" s="17" t="s">
        <v>92</v>
      </c>
      <c r="B598" s="18"/>
      <c r="C598" s="20" t="s">
        <v>422</v>
      </c>
      <c r="D598" s="20">
        <v>12</v>
      </c>
      <c r="E598" s="19" t="s">
        <v>9</v>
      </c>
      <c r="F598" s="20" t="s">
        <v>529</v>
      </c>
      <c r="G598" s="21">
        <f>G599</f>
        <v>582.29265999999996</v>
      </c>
      <c r="H598" s="21">
        <f>H599</f>
        <v>564.29265999999996</v>
      </c>
    </row>
    <row r="599" spans="1:8" ht="78" x14ac:dyDescent="0.3">
      <c r="A599" s="17" t="s">
        <v>581</v>
      </c>
      <c r="B599" s="18"/>
      <c r="C599" s="20" t="s">
        <v>422</v>
      </c>
      <c r="D599" s="20" t="s">
        <v>420</v>
      </c>
      <c r="E599" s="19" t="s">
        <v>419</v>
      </c>
      <c r="F599" s="20" t="s">
        <v>529</v>
      </c>
      <c r="G599" s="21">
        <f>G600+G602</f>
        <v>582.29265999999996</v>
      </c>
      <c r="H599" s="21">
        <f>H600+H602</f>
        <v>564.29265999999996</v>
      </c>
    </row>
    <row r="600" spans="1:8" ht="46.8" x14ac:dyDescent="0.3">
      <c r="A600" s="22" t="s">
        <v>378</v>
      </c>
      <c r="B600" s="23"/>
      <c r="C600" s="24" t="s">
        <v>422</v>
      </c>
      <c r="D600" s="24">
        <v>12</v>
      </c>
      <c r="E600" s="25" t="s">
        <v>379</v>
      </c>
      <c r="F600" s="24" t="s">
        <v>529</v>
      </c>
      <c r="G600" s="26">
        <f>G601</f>
        <v>35.819299999999998</v>
      </c>
      <c r="H600" s="26">
        <f>H601</f>
        <v>35.819299999999998</v>
      </c>
    </row>
    <row r="601" spans="1:8" ht="31.2" x14ac:dyDescent="0.3">
      <c r="A601" s="22" t="s">
        <v>77</v>
      </c>
      <c r="B601" s="23"/>
      <c r="C601" s="24" t="s">
        <v>422</v>
      </c>
      <c r="D601" s="24">
        <v>12</v>
      </c>
      <c r="E601" s="25" t="s">
        <v>379</v>
      </c>
      <c r="F601" s="24">
        <v>200</v>
      </c>
      <c r="G601" s="26">
        <v>35.819299999999998</v>
      </c>
      <c r="H601" s="26">
        <v>35.819299999999998</v>
      </c>
    </row>
    <row r="602" spans="1:8" ht="62.4" x14ac:dyDescent="0.3">
      <c r="A602" s="22" t="s">
        <v>380</v>
      </c>
      <c r="B602" s="23"/>
      <c r="C602" s="24" t="s">
        <v>422</v>
      </c>
      <c r="D602" s="24">
        <v>12</v>
      </c>
      <c r="E602" s="25" t="s">
        <v>381</v>
      </c>
      <c r="F602" s="24" t="s">
        <v>529</v>
      </c>
      <c r="G602" s="26">
        <f>G603+G604</f>
        <v>546.47335999999996</v>
      </c>
      <c r="H602" s="26">
        <f>H603+H604</f>
        <v>528.47335999999996</v>
      </c>
    </row>
    <row r="603" spans="1:8" ht="31.2" x14ac:dyDescent="0.3">
      <c r="A603" s="22" t="s">
        <v>77</v>
      </c>
      <c r="B603" s="23"/>
      <c r="C603" s="24" t="s">
        <v>422</v>
      </c>
      <c r="D603" s="24">
        <v>12</v>
      </c>
      <c r="E603" s="25" t="s">
        <v>381</v>
      </c>
      <c r="F603" s="24">
        <v>200</v>
      </c>
      <c r="G603" s="26">
        <v>520.81359999999995</v>
      </c>
      <c r="H603" s="26">
        <v>502.81360000000001</v>
      </c>
    </row>
    <row r="604" spans="1:8" x14ac:dyDescent="0.3">
      <c r="A604" s="22" t="s">
        <v>19</v>
      </c>
      <c r="B604" s="23"/>
      <c r="C604" s="24" t="s">
        <v>422</v>
      </c>
      <c r="D604" s="24" t="s">
        <v>420</v>
      </c>
      <c r="E604" s="25" t="s">
        <v>381</v>
      </c>
      <c r="F604" s="24" t="s">
        <v>401</v>
      </c>
      <c r="G604" s="26">
        <v>25.659759999999999</v>
      </c>
      <c r="H604" s="26">
        <v>25.659759999999999</v>
      </c>
    </row>
    <row r="605" spans="1:8" ht="31.2" x14ac:dyDescent="0.3">
      <c r="A605" s="17" t="s">
        <v>382</v>
      </c>
      <c r="B605" s="18"/>
      <c r="C605" s="20" t="s">
        <v>423</v>
      </c>
      <c r="D605" s="20" t="s">
        <v>392</v>
      </c>
      <c r="E605" s="19" t="s">
        <v>9</v>
      </c>
      <c r="F605" s="20" t="s">
        <v>529</v>
      </c>
      <c r="G605" s="21">
        <f>G606</f>
        <v>2134.9852099999998</v>
      </c>
      <c r="H605" s="21">
        <f>H606</f>
        <v>1932.57089</v>
      </c>
    </row>
    <row r="606" spans="1:8" x14ac:dyDescent="0.3">
      <c r="A606" s="17" t="s">
        <v>105</v>
      </c>
      <c r="B606" s="18"/>
      <c r="C606" s="20" t="s">
        <v>423</v>
      </c>
      <c r="D606" s="20" t="s">
        <v>391</v>
      </c>
      <c r="E606" s="19" t="s">
        <v>9</v>
      </c>
      <c r="F606" s="20" t="s">
        <v>529</v>
      </c>
      <c r="G606" s="21">
        <f>G607</f>
        <v>2134.9852099999998</v>
      </c>
      <c r="H606" s="21">
        <f>H607</f>
        <v>1932.57089</v>
      </c>
    </row>
    <row r="607" spans="1:8" ht="109.2" x14ac:dyDescent="0.3">
      <c r="A607" s="17" t="s">
        <v>383</v>
      </c>
      <c r="B607" s="18"/>
      <c r="C607" s="20" t="s">
        <v>423</v>
      </c>
      <c r="D607" s="20" t="s">
        <v>391</v>
      </c>
      <c r="E607" s="19" t="s">
        <v>384</v>
      </c>
      <c r="F607" s="20" t="s">
        <v>529</v>
      </c>
      <c r="G607" s="21">
        <f>G608+G611</f>
        <v>2134.9852099999998</v>
      </c>
      <c r="H607" s="21">
        <f>H608+H611</f>
        <v>1932.57089</v>
      </c>
    </row>
    <row r="608" spans="1:8" ht="124.8" x14ac:dyDescent="0.3">
      <c r="A608" s="17" t="s">
        <v>526</v>
      </c>
      <c r="B608" s="18"/>
      <c r="C608" s="20" t="s">
        <v>423</v>
      </c>
      <c r="D608" s="20" t="s">
        <v>391</v>
      </c>
      <c r="E608" s="19" t="s">
        <v>527</v>
      </c>
      <c r="F608" s="20" t="s">
        <v>529</v>
      </c>
      <c r="G608" s="21">
        <f>G609</f>
        <v>642.83520999999996</v>
      </c>
      <c r="H608" s="21">
        <f>H609</f>
        <v>441.49896999999999</v>
      </c>
    </row>
    <row r="609" spans="1:8" ht="62.4" x14ac:dyDescent="0.3">
      <c r="A609" s="22" t="s">
        <v>385</v>
      </c>
      <c r="B609" s="23"/>
      <c r="C609" s="24" t="s">
        <v>423</v>
      </c>
      <c r="D609" s="24" t="s">
        <v>391</v>
      </c>
      <c r="E609" s="25" t="s">
        <v>386</v>
      </c>
      <c r="F609" s="24" t="s">
        <v>529</v>
      </c>
      <c r="G609" s="26">
        <f>G610</f>
        <v>642.83520999999996</v>
      </c>
      <c r="H609" s="26">
        <f>H610</f>
        <v>441.49896999999999</v>
      </c>
    </row>
    <row r="610" spans="1:8" ht="31.2" x14ac:dyDescent="0.3">
      <c r="A610" s="22" t="s">
        <v>77</v>
      </c>
      <c r="B610" s="23"/>
      <c r="C610" s="24" t="s">
        <v>423</v>
      </c>
      <c r="D610" s="24" t="s">
        <v>391</v>
      </c>
      <c r="E610" s="25" t="s">
        <v>386</v>
      </c>
      <c r="F610" s="24">
        <v>200</v>
      </c>
      <c r="G610" s="26">
        <v>642.83520999999996</v>
      </c>
      <c r="H610" s="26">
        <v>441.49896999999999</v>
      </c>
    </row>
    <row r="611" spans="1:8" ht="140.4" x14ac:dyDescent="0.3">
      <c r="A611" s="17" t="s">
        <v>387</v>
      </c>
      <c r="B611" s="18"/>
      <c r="C611" s="20" t="s">
        <v>423</v>
      </c>
      <c r="D611" s="20" t="s">
        <v>391</v>
      </c>
      <c r="E611" s="19" t="s">
        <v>388</v>
      </c>
      <c r="F611" s="20" t="s">
        <v>529</v>
      </c>
      <c r="G611" s="21">
        <f>G612</f>
        <v>1492.15</v>
      </c>
      <c r="H611" s="21">
        <f>H612</f>
        <v>1491.0719200000001</v>
      </c>
    </row>
    <row r="612" spans="1:8" ht="109.2" x14ac:dyDescent="0.3">
      <c r="A612" s="22" t="s">
        <v>580</v>
      </c>
      <c r="B612" s="23"/>
      <c r="C612" s="24" t="s">
        <v>423</v>
      </c>
      <c r="D612" s="24" t="s">
        <v>391</v>
      </c>
      <c r="E612" s="25" t="s">
        <v>389</v>
      </c>
      <c r="F612" s="24" t="s">
        <v>529</v>
      </c>
      <c r="G612" s="26">
        <f>G613</f>
        <v>1492.15</v>
      </c>
      <c r="H612" s="26">
        <f>H613</f>
        <v>1491.0719200000001</v>
      </c>
    </row>
    <row r="613" spans="1:8" ht="31.2" x14ac:dyDescent="0.3">
      <c r="A613" s="22" t="s">
        <v>77</v>
      </c>
      <c r="B613" s="23"/>
      <c r="C613" s="24" t="s">
        <v>423</v>
      </c>
      <c r="D613" s="24" t="s">
        <v>391</v>
      </c>
      <c r="E613" s="25" t="s">
        <v>389</v>
      </c>
      <c r="F613" s="24">
        <v>200</v>
      </c>
      <c r="G613" s="26">
        <v>1492.15</v>
      </c>
      <c r="H613" s="26">
        <v>1491.0719200000001</v>
      </c>
    </row>
    <row r="614" spans="1:8" x14ac:dyDescent="0.3">
      <c r="A614" s="29" t="s">
        <v>390</v>
      </c>
      <c r="B614" s="18"/>
      <c r="C614" s="20" t="s">
        <v>392</v>
      </c>
      <c r="D614" s="20" t="s">
        <v>392</v>
      </c>
      <c r="E614" s="19" t="s">
        <v>9</v>
      </c>
      <c r="F614" s="20" t="s">
        <v>529</v>
      </c>
      <c r="G614" s="21">
        <v>1555912.9</v>
      </c>
      <c r="H614" s="21">
        <f>H10+H270+H351+H414+H422+H437+H559+H585</f>
        <v>1522513.2173199998</v>
      </c>
    </row>
  </sheetData>
  <mergeCells count="9">
    <mergeCell ref="F1:H1"/>
    <mergeCell ref="F2:H2"/>
    <mergeCell ref="F3:H3"/>
    <mergeCell ref="F4:H4"/>
    <mergeCell ref="A8:A9"/>
    <mergeCell ref="B8:B9"/>
    <mergeCell ref="C8:F8"/>
    <mergeCell ref="A6:H6"/>
    <mergeCell ref="A7:H7"/>
  </mergeCells>
  <pageMargins left="0.70866141732283472" right="0.31496062992125984" top="0.55118110236220474" bottom="0.35433070866141736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Калегова Татьяна Викторовна</dc:creator>
  <cp:lastModifiedBy>Лебедев Эдуард Федорович</cp:lastModifiedBy>
  <cp:lastPrinted>2021-04-07T13:28:06Z</cp:lastPrinted>
  <dcterms:created xsi:type="dcterms:W3CDTF">2020-09-15T14:42:00Z</dcterms:created>
  <dcterms:modified xsi:type="dcterms:W3CDTF">2021-04-27T08:11:45Z</dcterms:modified>
</cp:coreProperties>
</file>